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Hans\Dropbox (Persoonlijk)\tools zelf\"/>
    </mc:Choice>
  </mc:AlternateContent>
  <xr:revisionPtr revIDLastSave="0" documentId="13_ncr:1_{86561037-F6B3-48A7-ADDE-51FC5AC380CC}" xr6:coauthVersionLast="47" xr6:coauthVersionMax="47" xr10:uidLastSave="{00000000-0000-0000-0000-000000000000}"/>
  <bookViews>
    <workbookView xWindow="-120" yWindow="-120" windowWidth="29040" windowHeight="15840" xr2:uid="{00000000-000D-0000-FFFF-FFFF00000000}"/>
  </bookViews>
  <sheets>
    <sheet name="anesthesie protocol" sheetId="1" r:id="rId1"/>
    <sheet name="gebruiksaanwijzing" sheetId="4" r:id="rId2"/>
  </sheets>
  <calcPr calcId="191029"/>
</workbook>
</file>

<file path=xl/calcChain.xml><?xml version="1.0" encoding="utf-8"?>
<calcChain xmlns="http://schemas.openxmlformats.org/spreadsheetml/2006/main">
  <c r="D13" i="1" l="1"/>
  <c r="D23" i="1"/>
  <c r="B33" i="1"/>
  <c r="A19" i="1"/>
  <c r="B13" i="1"/>
  <c r="B11" i="1"/>
  <c r="D16" i="1"/>
  <c r="D11" i="1"/>
  <c r="E28" i="1"/>
  <c r="F28" i="1"/>
  <c r="H30" i="1"/>
  <c r="F30" i="1"/>
  <c r="E30" i="1"/>
  <c r="B27" i="1"/>
  <c r="C23" i="1"/>
  <c r="B23" i="1"/>
  <c r="B22" i="1"/>
  <c r="B21" i="1"/>
  <c r="D22" i="1"/>
  <c r="D21" i="1"/>
  <c r="B16" i="1"/>
  <c r="B15" i="1"/>
  <c r="B14" i="1"/>
  <c r="D14" i="1"/>
  <c r="A24" i="1"/>
  <c r="D24" i="1" s="1"/>
  <c r="B24" i="1" l="1"/>
  <c r="A17" i="1"/>
  <c r="D17" i="1" s="1"/>
  <c r="A33" i="1" l="1"/>
  <c r="D19" i="1" s="1"/>
  <c r="B17" i="1"/>
  <c r="D15" i="1"/>
  <c r="A20" i="1"/>
  <c r="B20" i="1" s="1"/>
  <c r="B19" i="1" l="1"/>
  <c r="D33" i="1"/>
  <c r="H33" i="1" s="1"/>
  <c r="D20" i="1"/>
  <c r="A12" i="1"/>
  <c r="D12" i="1" s="1"/>
  <c r="B12" i="1" l="1"/>
  <c r="H43" i="1" l="1"/>
  <c r="A32" i="1"/>
  <c r="B32" i="1" s="1"/>
  <c r="D9" i="1"/>
  <c r="H40" i="1" s="1"/>
  <c r="A30" i="1"/>
  <c r="D30" i="1" s="1"/>
  <c r="A26" i="1"/>
  <c r="B26" i="1" s="1"/>
  <c r="G30" i="1" l="1"/>
  <c r="B30" i="1"/>
  <c r="D32" i="1"/>
  <c r="H32" i="1" s="1"/>
  <c r="H39" i="1"/>
  <c r="C2" i="1"/>
  <c r="H41" i="1" l="1"/>
  <c r="H44" i="1" l="1"/>
  <c r="A28" i="1" l="1"/>
  <c r="H28" i="1" s="1"/>
  <c r="B28" i="1" l="1"/>
  <c r="I28" i="1"/>
  <c r="D28" i="1"/>
  <c r="G28" i="1" s="1"/>
  <c r="A29" i="1"/>
  <c r="H29" i="1" s="1"/>
  <c r="F29" i="1" l="1"/>
  <c r="E29" i="1"/>
  <c r="B29" i="1"/>
  <c r="I29" i="1"/>
  <c r="D29" i="1"/>
  <c r="G29" i="1" s="1"/>
</calcChain>
</file>

<file path=xl/sharedStrings.xml><?xml version="1.0" encoding="utf-8"?>
<sst xmlns="http://schemas.openxmlformats.org/spreadsheetml/2006/main" count="60" uniqueCount="39">
  <si>
    <t>©nieuwendijk diergeneeskunde b.v.</t>
  </si>
  <si>
    <t>pre.anes</t>
  </si>
  <si>
    <t xml:space="preserve">ASA </t>
  </si>
  <si>
    <t>metabool</t>
  </si>
  <si>
    <t>gewicht kg.</t>
  </si>
  <si>
    <t>kg</t>
  </si>
  <si>
    <t>tijd</t>
  </si>
  <si>
    <t>ml</t>
  </si>
  <si>
    <t>i.v. + inductie</t>
  </si>
  <si>
    <t>onderhoud</t>
  </si>
  <si>
    <t>totaal</t>
  </si>
  <si>
    <t>end tidal</t>
  </si>
  <si>
    <t>vloeistof</t>
  </si>
  <si>
    <t>ml/u.</t>
  </si>
  <si>
    <t>diversen</t>
  </si>
  <si>
    <t>temp</t>
  </si>
  <si>
    <t>premed.</t>
  </si>
  <si>
    <t>start operatie</t>
  </si>
  <si>
    <t>inductie</t>
  </si>
  <si>
    <t>eind operatie</t>
  </si>
  <si>
    <t>x /minuut</t>
  </si>
  <si>
    <t>L/minuut</t>
  </si>
  <si>
    <t>flow non-rebreath.</t>
  </si>
  <si>
    <t>l./minuut</t>
  </si>
  <si>
    <t>flow rebreathing</t>
  </si>
  <si>
    <t>naam/code</t>
  </si>
  <si>
    <t>tidal volume =Vt</t>
  </si>
  <si>
    <t>frequentie = F</t>
  </si>
  <si>
    <t>minuut volume = Vo</t>
  </si>
  <si>
    <t>duur</t>
  </si>
  <si>
    <t>uur</t>
  </si>
  <si>
    <t>premedicatie i.m. of i.v.</t>
  </si>
  <si>
    <t>ventilatie (volwassen dieren)</t>
  </si>
  <si>
    <t>1 - 2</t>
  </si>
  <si>
    <t>herh</t>
  </si>
  <si>
    <t>notities</t>
  </si>
  <si>
    <t>etiket</t>
  </si>
  <si>
    <t>ingr/oz</t>
  </si>
  <si>
    <t>anesthesie protocol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</si>
</sst>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mm/yy"/>
    <numFmt numFmtId="165" formatCode="0.0"/>
    <numFmt numFmtId="166" formatCode="#,##0.00_ ;\-#,##0.00\ "/>
    <numFmt numFmtId="167" formatCode="d/mm/yy\ h:mm;@"/>
  </numFmts>
  <fonts count="19" x14ac:knownFonts="1">
    <font>
      <sz val="11"/>
      <color theme="1"/>
      <name val="Calibri"/>
      <family val="2"/>
      <scheme val="minor"/>
    </font>
    <font>
      <b/>
      <sz val="11"/>
      <color theme="1"/>
      <name val="Calibri"/>
      <family val="2"/>
      <scheme val="minor"/>
    </font>
    <font>
      <u/>
      <sz val="11"/>
      <color theme="10"/>
      <name val="Calibri"/>
      <family val="2"/>
    </font>
    <font>
      <sz val="10"/>
      <color theme="1"/>
      <name val="Calibri"/>
      <family val="2"/>
      <scheme val="minor"/>
    </font>
    <font>
      <sz val="11"/>
      <color theme="1"/>
      <name val="Calibri"/>
      <family val="2"/>
      <scheme val="minor"/>
    </font>
    <font>
      <b/>
      <sz val="11"/>
      <name val="Arial"/>
      <family val="2"/>
    </font>
    <font>
      <b/>
      <i/>
      <sz val="11"/>
      <name val="Arial Black"/>
      <family val="2"/>
    </font>
    <font>
      <sz val="11"/>
      <color theme="1" tint="0.34998626667073579"/>
      <name val="Calibri"/>
      <family val="2"/>
      <scheme val="minor"/>
    </font>
    <font>
      <b/>
      <i/>
      <sz val="11"/>
      <color theme="1"/>
      <name val="Arial Black"/>
      <family val="2"/>
    </font>
    <font>
      <u/>
      <sz val="11"/>
      <color theme="4" tint="0.59999389629810485"/>
      <name val="Calibri"/>
      <family val="2"/>
    </font>
    <font>
      <b/>
      <sz val="11"/>
      <name val="Calibri"/>
      <family val="2"/>
      <scheme val="minor"/>
    </font>
    <font>
      <b/>
      <sz val="10"/>
      <name val="Arial"/>
      <family val="2"/>
    </font>
    <font>
      <b/>
      <sz val="10"/>
      <color theme="1"/>
      <name val="Calibri"/>
      <family val="2"/>
      <scheme val="minor"/>
    </font>
    <font>
      <sz val="11"/>
      <name val="Calibri"/>
      <family val="2"/>
      <scheme val="minor"/>
    </font>
    <font>
      <sz val="9"/>
      <color theme="1"/>
      <name val="Calibri"/>
      <family val="2"/>
      <scheme val="minor"/>
    </font>
    <font>
      <b/>
      <sz val="10"/>
      <name val="Calibri"/>
      <family val="2"/>
      <scheme val="minor"/>
    </font>
    <font>
      <b/>
      <sz val="6"/>
      <color theme="1"/>
      <name val="Arial Black"/>
      <family val="2"/>
    </font>
    <font>
      <b/>
      <u/>
      <sz val="11"/>
      <color theme="1"/>
      <name val="Calibri"/>
      <family val="2"/>
      <scheme val="minor"/>
    </font>
    <font>
      <b/>
      <sz val="9"/>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34998626667073579"/>
        <bgColor indexed="9"/>
      </patternFill>
    </fill>
    <fill>
      <patternFill patternType="solid">
        <fgColor theme="0" tint="-0.34998626667073579"/>
        <bgColor indexed="31"/>
      </patternFill>
    </fill>
    <fill>
      <patternFill patternType="solid">
        <fgColor theme="0" tint="-0.34998626667073579"/>
        <bgColor indexed="22"/>
      </patternFill>
    </fill>
    <fill>
      <patternFill patternType="solid">
        <fgColor theme="0" tint="-0.34998626667073579"/>
        <bgColor indexed="64"/>
      </patternFill>
    </fill>
  </fills>
  <borders count="60">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medium">
        <color indexed="8"/>
      </left>
      <right style="medium">
        <color indexed="8"/>
      </right>
      <top style="medium">
        <color indexed="8"/>
      </top>
      <bottom style="medium">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thin">
        <color auto="1"/>
      </bottom>
      <diagonal/>
    </border>
    <border>
      <left/>
      <right/>
      <top style="thin">
        <color auto="1"/>
      </top>
      <bottom style="thin">
        <color auto="1"/>
      </bottom>
      <diagonal/>
    </border>
    <border>
      <left style="medium">
        <color indexed="8"/>
      </left>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top style="medium">
        <color auto="1"/>
      </top>
      <bottom style="thin">
        <color indexed="8"/>
      </bottom>
      <diagonal/>
    </border>
    <border>
      <left/>
      <right style="thin">
        <color indexed="8"/>
      </right>
      <top style="medium">
        <color auto="1"/>
      </top>
      <bottom style="thin">
        <color indexed="8"/>
      </bottom>
      <diagonal/>
    </border>
    <border>
      <left/>
      <right/>
      <top style="medium">
        <color auto="1"/>
      </top>
      <bottom/>
      <diagonal/>
    </border>
    <border>
      <left/>
      <right style="medium">
        <color auto="1"/>
      </right>
      <top style="medium">
        <color auto="1"/>
      </top>
      <bottom/>
      <diagonal/>
    </border>
    <border>
      <left style="medium">
        <color auto="1"/>
      </left>
      <right/>
      <top style="thin">
        <color indexed="8"/>
      </top>
      <bottom style="thin">
        <color indexed="8"/>
      </bottom>
      <diagonal/>
    </border>
    <border>
      <left/>
      <right style="medium">
        <color auto="1"/>
      </right>
      <top/>
      <bottom style="thin">
        <color indexed="8"/>
      </bottom>
      <diagonal/>
    </border>
    <border>
      <left/>
      <right style="medium">
        <color auto="1"/>
      </right>
      <top style="thin">
        <color indexed="8"/>
      </top>
      <bottom/>
      <diagonal/>
    </border>
    <border>
      <left/>
      <right style="medium">
        <color auto="1"/>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thin">
        <color indexed="8"/>
      </top>
      <bottom/>
      <diagonal/>
    </border>
    <border>
      <left style="medium">
        <color auto="1"/>
      </left>
      <right/>
      <top style="medium">
        <color indexed="8"/>
      </top>
      <bottom/>
      <diagonal/>
    </border>
    <border>
      <left/>
      <right style="medium">
        <color auto="1"/>
      </right>
      <top/>
      <bottom/>
      <diagonal/>
    </border>
    <border>
      <left style="medium">
        <color auto="1"/>
      </left>
      <right/>
      <top style="thin">
        <color indexed="8"/>
      </top>
      <bottom style="medium">
        <color indexed="8"/>
      </bottom>
      <diagonal/>
    </border>
    <border>
      <left style="medium">
        <color auto="1"/>
      </left>
      <right/>
      <top/>
      <bottom style="thin">
        <color auto="1"/>
      </bottom>
      <diagonal/>
    </border>
    <border>
      <left/>
      <right style="medium">
        <color auto="1"/>
      </right>
      <top style="medium">
        <color indexed="8"/>
      </top>
      <bottom style="thin">
        <color indexed="8"/>
      </bottom>
      <diagonal/>
    </border>
    <border>
      <left style="medium">
        <color auto="1"/>
      </left>
      <right/>
      <top style="thin">
        <color auto="1"/>
      </top>
      <bottom style="thin">
        <color auto="1"/>
      </bottom>
      <diagonal/>
    </border>
    <border>
      <left/>
      <right style="medium">
        <color auto="1"/>
      </right>
      <top style="thin">
        <color indexed="8"/>
      </top>
      <bottom style="medium">
        <color indexed="8"/>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bottom style="thin">
        <color indexed="8"/>
      </bottom>
      <diagonal/>
    </border>
    <border>
      <left style="medium">
        <color auto="1"/>
      </left>
      <right/>
      <top style="thin">
        <color indexed="8"/>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double">
        <color indexed="8"/>
      </right>
      <top style="thin">
        <color auto="1"/>
      </top>
      <bottom style="thin">
        <color indexed="8"/>
      </bottom>
      <diagonal/>
    </border>
  </borders>
  <cellStyleXfs count="3">
    <xf numFmtId="0" fontId="0" fillId="0" borderId="0"/>
    <xf numFmtId="0" fontId="2" fillId="0" borderId="0" applyNumberFormat="0" applyFill="0" applyBorder="0" applyAlignment="0" applyProtection="0">
      <alignment vertical="top"/>
      <protection locked="0"/>
    </xf>
    <xf numFmtId="44" fontId="4" fillId="0" borderId="0" applyFont="0" applyFill="0" applyBorder="0" applyAlignment="0" applyProtection="0"/>
  </cellStyleXfs>
  <cellXfs count="141">
    <xf numFmtId="0" fontId="0" fillId="0" borderId="0" xfId="0"/>
    <xf numFmtId="0" fontId="0" fillId="0" borderId="0" xfId="0" applyAlignment="1">
      <alignment horizontal="right"/>
    </xf>
    <xf numFmtId="0" fontId="1" fillId="0" borderId="0" xfId="0" applyFont="1"/>
    <xf numFmtId="0" fontId="0" fillId="0" borderId="0" xfId="0" applyAlignment="1">
      <alignment horizontal="left"/>
    </xf>
    <xf numFmtId="0" fontId="1" fillId="0" borderId="0" xfId="0" applyFont="1" applyAlignment="1">
      <alignment horizontal="right"/>
    </xf>
    <xf numFmtId="0" fontId="0" fillId="0" borderId="4" xfId="0" applyBorder="1"/>
    <xf numFmtId="0" fontId="1" fillId="0" borderId="0" xfId="0" applyFont="1" applyAlignment="1">
      <alignment horizontal="center"/>
    </xf>
    <xf numFmtId="0" fontId="1" fillId="0" borderId="13" xfId="0" applyFont="1" applyBorder="1"/>
    <xf numFmtId="0" fontId="0" fillId="0" borderId="13" xfId="0" applyBorder="1"/>
    <xf numFmtId="0" fontId="0" fillId="0" borderId="11" xfId="0" applyBorder="1"/>
    <xf numFmtId="0" fontId="1" fillId="0" borderId="10" xfId="0" applyFont="1" applyBorder="1"/>
    <xf numFmtId="0" fontId="1" fillId="0" borderId="11" xfId="0" applyFont="1" applyBorder="1"/>
    <xf numFmtId="0" fontId="0" fillId="0" borderId="8" xfId="0" applyBorder="1"/>
    <xf numFmtId="44" fontId="0" fillId="0" borderId="13" xfId="2" applyFont="1" applyBorder="1"/>
    <xf numFmtId="166" fontId="0" fillId="0" borderId="13" xfId="2" applyNumberFormat="1" applyFont="1" applyBorder="1"/>
    <xf numFmtId="0" fontId="0" fillId="0" borderId="3" xfId="0" applyBorder="1"/>
    <xf numFmtId="0" fontId="0" fillId="0" borderId="1" xfId="0" applyBorder="1"/>
    <xf numFmtId="0" fontId="0" fillId="0" borderId="2" xfId="0" applyBorder="1"/>
    <xf numFmtId="0" fontId="0" fillId="0" borderId="5" xfId="0" applyBorder="1"/>
    <xf numFmtId="0" fontId="5" fillId="0" borderId="0" xfId="0" applyFont="1" applyAlignment="1">
      <alignment horizontal="right"/>
    </xf>
    <xf numFmtId="0" fontId="5" fillId="0" borderId="0" xfId="0" applyFont="1"/>
    <xf numFmtId="0" fontId="0" fillId="0" borderId="7" xfId="0" applyBorder="1"/>
    <xf numFmtId="0" fontId="0" fillId="0" borderId="9" xfId="0" applyBorder="1"/>
    <xf numFmtId="0" fontId="5" fillId="0" borderId="1" xfId="0" applyFont="1" applyBorder="1"/>
    <xf numFmtId="0" fontId="5" fillId="0" borderId="7" xfId="0" applyFont="1" applyBorder="1"/>
    <xf numFmtId="0" fontId="5" fillId="0" borderId="11" xfId="0" applyFont="1" applyBorder="1"/>
    <xf numFmtId="0" fontId="5" fillId="0" borderId="11" xfId="0" applyFont="1" applyBorder="1" applyAlignment="1">
      <alignment horizontal="left"/>
    </xf>
    <xf numFmtId="0" fontId="0" fillId="0" borderId="0" xfId="0" applyProtection="1">
      <protection locked="0"/>
    </xf>
    <xf numFmtId="2" fontId="7" fillId="0" borderId="11" xfId="0" applyNumberFormat="1" applyFont="1" applyBorder="1"/>
    <xf numFmtId="0" fontId="5" fillId="0" borderId="13" xfId="0" applyFont="1" applyBorder="1"/>
    <xf numFmtId="0" fontId="8" fillId="0" borderId="10" xfId="0" applyFont="1" applyBorder="1" applyAlignment="1">
      <alignment horizontal="center"/>
    </xf>
    <xf numFmtId="165" fontId="5" fillId="0" borderId="12" xfId="0" applyNumberFormat="1" applyFont="1" applyBorder="1"/>
    <xf numFmtId="165" fontId="5" fillId="0" borderId="13" xfId="0" applyNumberFormat="1" applyFont="1" applyBorder="1"/>
    <xf numFmtId="0" fontId="0" fillId="0" borderId="10" xfId="0" applyBorder="1"/>
    <xf numFmtId="0" fontId="5" fillId="0" borderId="13" xfId="0" applyFont="1" applyBorder="1" applyAlignment="1">
      <alignment horizontal="right"/>
    </xf>
    <xf numFmtId="1" fontId="0" fillId="0" borderId="13" xfId="0" applyNumberFormat="1" applyBorder="1"/>
    <xf numFmtId="2" fontId="0" fillId="0" borderId="13" xfId="0" applyNumberFormat="1" applyBorder="1"/>
    <xf numFmtId="0" fontId="0" fillId="0" borderId="18" xfId="0" applyBorder="1"/>
    <xf numFmtId="0" fontId="0" fillId="0" borderId="19" xfId="0" applyBorder="1"/>
    <xf numFmtId="2" fontId="0" fillId="0" borderId="21" xfId="0" applyNumberFormat="1" applyBorder="1"/>
    <xf numFmtId="0" fontId="9" fillId="0" borderId="0" xfId="1" applyFont="1" applyAlignment="1" applyProtection="1"/>
    <xf numFmtId="0" fontId="0" fillId="3" borderId="6" xfId="0" applyFill="1" applyBorder="1" applyAlignment="1" applyProtection="1">
      <alignment horizontal="center"/>
      <protection locked="0"/>
    </xf>
    <xf numFmtId="0" fontId="5" fillId="5" borderId="11" xfId="0" applyFont="1" applyFill="1" applyBorder="1" applyProtection="1">
      <protection locked="0"/>
    </xf>
    <xf numFmtId="49" fontId="1" fillId="0" borderId="6" xfId="0" applyNumberFormat="1" applyFont="1" applyBorder="1" applyAlignment="1">
      <alignment horizontal="center"/>
    </xf>
    <xf numFmtId="0" fontId="0" fillId="0" borderId="0" xfId="0" applyAlignment="1">
      <alignment horizontal="center"/>
    </xf>
    <xf numFmtId="0" fontId="5" fillId="4" borderId="17" xfId="0" applyFont="1" applyFill="1" applyBorder="1" applyAlignment="1" applyProtection="1">
      <alignment horizontal="center"/>
      <protection locked="0"/>
    </xf>
    <xf numFmtId="2" fontId="0" fillId="0" borderId="0" xfId="0" applyNumberFormat="1" applyAlignment="1">
      <alignment horizontal="center"/>
    </xf>
    <xf numFmtId="2" fontId="5" fillId="0" borderId="12" xfId="0" applyNumberFormat="1" applyFont="1" applyBorder="1" applyAlignment="1">
      <alignment horizontal="center"/>
    </xf>
    <xf numFmtId="165" fontId="5" fillId="0" borderId="12" xfId="0" applyNumberFormat="1" applyFont="1" applyBorder="1" applyAlignment="1">
      <alignment horizontal="center"/>
    </xf>
    <xf numFmtId="165" fontId="1" fillId="0" borderId="12" xfId="0" applyNumberFormat="1" applyFont="1" applyBorder="1" applyAlignment="1">
      <alignment horizontal="center"/>
    </xf>
    <xf numFmtId="1" fontId="5" fillId="0" borderId="12" xfId="0" applyNumberFormat="1" applyFont="1" applyBorder="1" applyAlignment="1">
      <alignment horizontal="center"/>
    </xf>
    <xf numFmtId="0" fontId="11" fillId="0" borderId="13" xfId="0" applyFont="1" applyBorder="1"/>
    <xf numFmtId="0" fontId="12" fillId="0" borderId="13" xfId="0" applyFont="1" applyBorder="1"/>
    <xf numFmtId="0" fontId="11" fillId="0" borderId="13" xfId="0" applyFont="1" applyBorder="1" applyAlignment="1">
      <alignment horizontal="right"/>
    </xf>
    <xf numFmtId="0" fontId="0" fillId="0" borderId="22" xfId="0" applyBorder="1"/>
    <xf numFmtId="0" fontId="0" fillId="0" borderId="22" xfId="0" applyBorder="1" applyAlignment="1">
      <alignment horizontal="center"/>
    </xf>
    <xf numFmtId="0" fontId="1" fillId="0" borderId="23" xfId="0" applyFont="1" applyBorder="1"/>
    <xf numFmtId="0" fontId="0" fillId="0" borderId="23" xfId="0" applyBorder="1"/>
    <xf numFmtId="0" fontId="0" fillId="0" borderId="23" xfId="0" applyBorder="1" applyAlignment="1">
      <alignment horizontal="center"/>
    </xf>
    <xf numFmtId="1" fontId="5" fillId="0" borderId="22" xfId="0" applyNumberFormat="1" applyFont="1" applyBorder="1"/>
    <xf numFmtId="0" fontId="1" fillId="0" borderId="24" xfId="0" applyFont="1" applyBorder="1"/>
    <xf numFmtId="0" fontId="1" fillId="0" borderId="8" xfId="0" applyFont="1" applyBorder="1"/>
    <xf numFmtId="0" fontId="1" fillId="0" borderId="15" xfId="0" applyFont="1" applyBorder="1" applyAlignment="1">
      <alignment horizontal="center"/>
    </xf>
    <xf numFmtId="0" fontId="0" fillId="0" borderId="25" xfId="0" applyBorder="1"/>
    <xf numFmtId="0" fontId="0" fillId="0" borderId="26" xfId="0" applyBorder="1" applyAlignment="1">
      <alignment horizontal="center"/>
    </xf>
    <xf numFmtId="0" fontId="0" fillId="0" borderId="27" xfId="0" applyBorder="1"/>
    <xf numFmtId="0" fontId="0" fillId="0" borderId="28" xfId="0" applyBorder="1"/>
    <xf numFmtId="0" fontId="0" fillId="0" borderId="29" xfId="0" applyBorder="1"/>
    <xf numFmtId="0" fontId="1" fillId="0" borderId="30" xfId="0" applyFont="1" applyBorder="1"/>
    <xf numFmtId="0" fontId="0" fillId="0" borderId="31" xfId="0" applyBorder="1"/>
    <xf numFmtId="0" fontId="0" fillId="0" borderId="33" xfId="0" applyBorder="1"/>
    <xf numFmtId="0" fontId="0" fillId="0" borderId="34" xfId="0" applyBorder="1" applyAlignment="1">
      <alignment horizontal="right"/>
    </xf>
    <xf numFmtId="0" fontId="8" fillId="0" borderId="35" xfId="0" applyFont="1" applyBorder="1" applyAlignment="1">
      <alignment horizontal="center"/>
    </xf>
    <xf numFmtId="0" fontId="0" fillId="0" borderId="36" xfId="0" applyBorder="1"/>
    <xf numFmtId="0" fontId="0" fillId="0" borderId="36" xfId="0" applyBorder="1" applyAlignment="1">
      <alignment horizontal="center"/>
    </xf>
    <xf numFmtId="0" fontId="0" fillId="0" borderId="37" xfId="0" applyBorder="1"/>
    <xf numFmtId="0" fontId="0" fillId="6" borderId="38" xfId="0" applyFill="1" applyBorder="1" applyAlignment="1" applyProtection="1">
      <alignment horizontal="right"/>
      <protection locked="0"/>
    </xf>
    <xf numFmtId="0" fontId="0" fillId="0" borderId="39" xfId="0" applyBorder="1"/>
    <xf numFmtId="0" fontId="0" fillId="0" borderId="38" xfId="0" applyBorder="1" applyAlignment="1">
      <alignment horizontal="right"/>
    </xf>
    <xf numFmtId="0" fontId="5" fillId="0" borderId="40" xfId="0" applyFont="1" applyBorder="1"/>
    <xf numFmtId="0" fontId="5" fillId="0" borderId="41" xfId="0" applyFont="1" applyBorder="1"/>
    <xf numFmtId="0" fontId="5" fillId="0" borderId="42" xfId="0" applyFont="1" applyBorder="1"/>
    <xf numFmtId="0" fontId="1" fillId="0" borderId="42" xfId="0" applyFont="1" applyBorder="1"/>
    <xf numFmtId="0" fontId="0" fillId="0" borderId="44" xfId="0" applyBorder="1" applyAlignment="1">
      <alignment horizontal="right"/>
    </xf>
    <xf numFmtId="0" fontId="0" fillId="0" borderId="40" xfId="0" applyBorder="1"/>
    <xf numFmtId="0" fontId="0" fillId="0" borderId="38" xfId="0" applyBorder="1"/>
    <xf numFmtId="0" fontId="0" fillId="0" borderId="45" xfId="0" applyBorder="1"/>
    <xf numFmtId="0" fontId="0" fillId="0" borderId="46" xfId="0" applyBorder="1"/>
    <xf numFmtId="0" fontId="0" fillId="0" borderId="47" xfId="0" applyBorder="1" applyAlignment="1">
      <alignment horizontal="right"/>
    </xf>
    <xf numFmtId="0" fontId="0" fillId="0" borderId="48" xfId="0" applyBorder="1"/>
    <xf numFmtId="0" fontId="0" fillId="0" borderId="49" xfId="0" applyBorder="1" applyAlignment="1">
      <alignment horizontal="right"/>
    </xf>
    <xf numFmtId="0" fontId="0" fillId="0" borderId="41" xfId="0" applyBorder="1"/>
    <xf numFmtId="0" fontId="3" fillId="0" borderId="41" xfId="0" applyFont="1" applyBorder="1"/>
    <xf numFmtId="44" fontId="3" fillId="0" borderId="41" xfId="2" applyFont="1" applyBorder="1"/>
    <xf numFmtId="0" fontId="3" fillId="0" borderId="50" xfId="0" applyFont="1" applyBorder="1"/>
    <xf numFmtId="0" fontId="0" fillId="0" borderId="51" xfId="0" applyBorder="1" applyAlignment="1">
      <alignment horizontal="right"/>
    </xf>
    <xf numFmtId="0" fontId="1" fillId="0" borderId="52" xfId="0" applyFont="1" applyBorder="1"/>
    <xf numFmtId="0" fontId="0" fillId="0" borderId="52" xfId="0" applyBorder="1"/>
    <xf numFmtId="0" fontId="0" fillId="0" borderId="52" xfId="0" applyBorder="1" applyAlignment="1">
      <alignment horizontal="center"/>
    </xf>
    <xf numFmtId="0" fontId="0" fillId="0" borderId="53" xfId="0" applyBorder="1"/>
    <xf numFmtId="0" fontId="0" fillId="0" borderId="54" xfId="0" applyBorder="1"/>
    <xf numFmtId="0" fontId="6" fillId="0" borderId="8" xfId="0" applyFont="1" applyBorder="1" applyAlignment="1">
      <alignment horizontal="center"/>
    </xf>
    <xf numFmtId="0" fontId="14" fillId="0" borderId="19" xfId="0" applyFont="1" applyBorder="1" applyAlignment="1">
      <alignment horizontal="left"/>
    </xf>
    <xf numFmtId="0" fontId="14" fillId="0" borderId="13" xfId="0" applyFont="1" applyBorder="1"/>
    <xf numFmtId="0" fontId="14" fillId="0" borderId="20" xfId="0" applyFont="1" applyBorder="1" applyAlignment="1">
      <alignment horizontal="left"/>
    </xf>
    <xf numFmtId="0" fontId="14" fillId="0" borderId="21" xfId="0" applyFont="1" applyBorder="1"/>
    <xf numFmtId="0" fontId="15" fillId="0" borderId="12" xfId="0" applyFont="1" applyBorder="1"/>
    <xf numFmtId="0" fontId="13" fillId="6" borderId="55" xfId="0" applyFont="1" applyFill="1" applyBorder="1" applyAlignment="1" applyProtection="1">
      <alignment horizontal="right"/>
      <protection locked="0"/>
    </xf>
    <xf numFmtId="0" fontId="1" fillId="0" borderId="45" xfId="0" applyFont="1" applyBorder="1" applyAlignment="1">
      <alignment horizontal="center"/>
    </xf>
    <xf numFmtId="0" fontId="0" fillId="4" borderId="38" xfId="0" applyFill="1" applyBorder="1" applyAlignment="1" applyProtection="1">
      <alignment horizontal="right"/>
      <protection locked="0"/>
    </xf>
    <xf numFmtId="0" fontId="0" fillId="0" borderId="42" xfId="0" applyBorder="1"/>
    <xf numFmtId="167" fontId="5" fillId="0" borderId="0" xfId="0" applyNumberFormat="1" applyFont="1"/>
    <xf numFmtId="0" fontId="17" fillId="0" borderId="22" xfId="0" applyFont="1" applyBorder="1"/>
    <xf numFmtId="2" fontId="5" fillId="0" borderId="7" xfId="0" applyNumberFormat="1" applyFont="1" applyBorder="1" applyAlignment="1">
      <alignment horizontal="center"/>
    </xf>
    <xf numFmtId="0" fontId="0" fillId="2" borderId="58" xfId="0" applyFill="1" applyBorder="1"/>
    <xf numFmtId="0" fontId="1" fillId="2" borderId="58" xfId="0" applyFont="1" applyFill="1" applyBorder="1" applyAlignment="1">
      <alignment horizontal="center"/>
    </xf>
    <xf numFmtId="0" fontId="1" fillId="2" borderId="57" xfId="0" applyFont="1" applyFill="1" applyBorder="1" applyAlignment="1">
      <alignment horizontal="center"/>
    </xf>
    <xf numFmtId="0" fontId="13" fillId="0" borderId="59" xfId="0" applyFont="1" applyBorder="1" applyAlignment="1">
      <alignment horizontal="left"/>
    </xf>
    <xf numFmtId="0" fontId="18" fillId="0" borderId="2" xfId="0" applyFont="1" applyBorder="1" applyAlignment="1">
      <alignment horizontal="center"/>
    </xf>
    <xf numFmtId="0" fontId="10" fillId="0" borderId="13" xfId="0" applyFont="1" applyBorder="1" applyAlignment="1">
      <alignment horizontal="left"/>
    </xf>
    <xf numFmtId="0" fontId="5" fillId="0" borderId="10" xfId="0" applyFont="1" applyBorder="1" applyAlignment="1">
      <alignment horizontal="left"/>
    </xf>
    <xf numFmtId="0" fontId="16" fillId="0" borderId="19" xfId="0" applyFont="1" applyBorder="1" applyAlignment="1">
      <alignment horizontal="center"/>
    </xf>
    <xf numFmtId="0" fontId="16" fillId="0" borderId="13" xfId="0" applyFont="1" applyBorder="1" applyAlignment="1">
      <alignment horizontal="center"/>
    </xf>
    <xf numFmtId="0" fontId="5" fillId="4" borderId="12"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0" xfId="0" applyFont="1" applyFill="1" applyBorder="1" applyAlignment="1" applyProtection="1">
      <alignment horizontal="center"/>
      <protection locked="0"/>
    </xf>
    <xf numFmtId="164" fontId="5" fillId="4" borderId="14" xfId="0" applyNumberFormat="1" applyFont="1" applyFill="1" applyBorder="1" applyAlignment="1" applyProtection="1">
      <alignment horizontal="center"/>
      <protection locked="0"/>
    </xf>
    <xf numFmtId="164" fontId="5" fillId="4" borderId="16" xfId="0" applyNumberFormat="1" applyFont="1" applyFill="1" applyBorder="1" applyAlignment="1" applyProtection="1">
      <alignment horizontal="center"/>
      <protection locked="0"/>
    </xf>
    <xf numFmtId="0" fontId="8" fillId="2" borderId="43" xfId="0" applyFont="1" applyFill="1" applyBorder="1" applyAlignment="1">
      <alignment horizontal="center"/>
    </xf>
    <xf numFmtId="0" fontId="8" fillId="2" borderId="2" xfId="0" applyFont="1" applyFill="1" applyBorder="1" applyAlignment="1">
      <alignment horizontal="center"/>
    </xf>
    <xf numFmtId="0" fontId="8" fillId="2" borderId="13" xfId="0" applyFont="1" applyFill="1" applyBorder="1" applyAlignment="1">
      <alignment horizontal="center"/>
    </xf>
    <xf numFmtId="0" fontId="8" fillId="2" borderId="41" xfId="0" applyFont="1" applyFill="1" applyBorder="1" applyAlignment="1">
      <alignment horizontal="center"/>
    </xf>
    <xf numFmtId="0" fontId="8" fillId="2" borderId="38" xfId="0" applyFont="1" applyFill="1" applyBorder="1" applyAlignment="1">
      <alignment horizontal="center"/>
    </xf>
    <xf numFmtId="0" fontId="8" fillId="2" borderId="56" xfId="0" applyFont="1" applyFill="1" applyBorder="1" applyAlignment="1">
      <alignment horizontal="center"/>
    </xf>
    <xf numFmtId="0" fontId="8" fillId="2" borderId="53" xfId="0" applyFont="1" applyFill="1" applyBorder="1" applyAlignment="1">
      <alignment horizontal="center"/>
    </xf>
    <xf numFmtId="0" fontId="8" fillId="2" borderId="54" xfId="0" applyFont="1" applyFill="1" applyBorder="1" applyAlignment="1">
      <alignment horizontal="center"/>
    </xf>
    <xf numFmtId="0" fontId="6" fillId="2" borderId="58" xfId="0" applyFont="1" applyFill="1"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2" xfId="0" applyBorder="1" applyAlignment="1">
      <alignment horizontal="center"/>
    </xf>
    <xf numFmtId="0" fontId="0" fillId="0" borderId="30" xfId="0" applyBorder="1" applyAlignment="1">
      <alignment horizontal="center"/>
    </xf>
  </cellXfs>
  <cellStyles count="3">
    <cellStyle name="Hyperlink" xfId="1" builtinId="8"/>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304800</xdr:colOff>
      <xdr:row>34</xdr:row>
      <xdr:rowOff>9525</xdr:rowOff>
    </xdr:from>
    <xdr:to>
      <xdr:col>1</xdr:col>
      <xdr:colOff>304800</xdr:colOff>
      <xdr:row>36</xdr:row>
      <xdr:rowOff>190500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flipH="1">
          <a:off x="590550" y="6638925"/>
          <a:ext cx="0" cy="561975"/>
        </a:xfrm>
        <a:prstGeom prst="line">
          <a:avLst/>
        </a:prstGeom>
        <a:noFill/>
        <a:ln w="9360">
          <a:solidFill>
            <a:srgbClr val="000000"/>
          </a:solidFill>
          <a:miter lim="800000"/>
          <a:headEnd/>
          <a:tailEnd/>
        </a:ln>
      </xdr:spPr>
    </xdr:sp>
    <xdr:clientData/>
  </xdr:twoCellAnchor>
  <xdr:twoCellAnchor editAs="oneCell">
    <xdr:from>
      <xdr:col>1</xdr:col>
      <xdr:colOff>19051</xdr:colOff>
      <xdr:row>3</xdr:row>
      <xdr:rowOff>177067</xdr:rowOff>
    </xdr:from>
    <xdr:to>
      <xdr:col>1</xdr:col>
      <xdr:colOff>927100</xdr:colOff>
      <xdr:row>8</xdr:row>
      <xdr:rowOff>79375</xdr:rowOff>
    </xdr:to>
    <xdr:pic>
      <xdr:nvPicPr>
        <xdr:cNvPr id="4" name="Afbeelding 3">
          <a:extLst>
            <a:ext uri="{FF2B5EF4-FFF2-40B4-BE49-F238E27FC236}">
              <a16:creationId xmlns:a16="http://schemas.microsoft.com/office/drawing/2014/main" id="{1CD9D9D8-071C-4E5E-817C-C555A5AA4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773967"/>
          <a:ext cx="908049" cy="905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114299</xdr:rowOff>
    </xdr:from>
    <xdr:to>
      <xdr:col>8</xdr:col>
      <xdr:colOff>514350</xdr:colOff>
      <xdr:row>43</xdr:row>
      <xdr:rowOff>104775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66675" y="114299"/>
          <a:ext cx="5324475" cy="8181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b="1">
              <a:solidFill>
                <a:schemeClr val="dk1"/>
              </a:solidFill>
              <a:latin typeface="+mn-lt"/>
              <a:ea typeface="+mn-ea"/>
              <a:cs typeface="+mn-cs"/>
            </a:rPr>
            <a:t>Gebruik anesthesie berekenwijzer</a:t>
          </a:r>
          <a:r>
            <a:rPr lang="nl-NL" sz="1100">
              <a:solidFill>
                <a:schemeClr val="dk1"/>
              </a:solidFill>
              <a:latin typeface="+mn-lt"/>
              <a:ea typeface="+mn-ea"/>
              <a:cs typeface="+mn-cs"/>
            </a:rPr>
            <a:t>:</a:t>
          </a:r>
        </a:p>
        <a:p>
          <a:r>
            <a:rPr lang="nl-NL" sz="1100">
              <a:solidFill>
                <a:schemeClr val="dk1"/>
              </a:solidFill>
              <a:latin typeface="+mn-lt"/>
              <a:ea typeface="+mn-ea"/>
              <a:cs typeface="+mn-cs"/>
            </a:rPr>
            <a:t>Dit hulpmiddel werkt op basis van lichaamsgewicht en (deels) metabool lichaamsgewicht. De doseringen die er mee berekend worden zijn geen ‘absolute waarheden’. Altijd blijft het noodzakelijk om de patiënt goed te beoordelen en te monitoren. Indien nodig moeten doseringen en instellingen worden aangepast.</a:t>
          </a:r>
        </a:p>
        <a:p>
          <a:pPr lvl="0"/>
          <a:r>
            <a:rPr lang="nl-NL" sz="1100">
              <a:solidFill>
                <a:schemeClr val="dk1"/>
              </a:solidFill>
              <a:latin typeface="+mn-lt"/>
              <a:ea typeface="+mn-ea"/>
              <a:cs typeface="+mn-cs"/>
            </a:rPr>
            <a:t>Alle formules zijn beveiligd. Alle donkergrijze velden zijn toegankelijk voor de gebruiker. In </a:t>
          </a:r>
          <a:r>
            <a:rPr lang="nl-NL" sz="1100" b="1">
              <a:solidFill>
                <a:schemeClr val="dk1"/>
              </a:solidFill>
              <a:latin typeface="+mn-lt"/>
              <a:ea typeface="+mn-ea"/>
              <a:cs typeface="+mn-cs"/>
            </a:rPr>
            <a:t>C3</a:t>
          </a:r>
          <a:r>
            <a:rPr lang="nl-NL" sz="1100">
              <a:solidFill>
                <a:schemeClr val="dk1"/>
              </a:solidFill>
              <a:latin typeface="+mn-lt"/>
              <a:ea typeface="+mn-ea"/>
              <a:cs typeface="+mn-cs"/>
            </a:rPr>
            <a:t> kan aangevinkt worden of het pre-anesthetisch onderzoek is uitgevoerd.</a:t>
          </a:r>
        </a:p>
        <a:p>
          <a:pPr lvl="0"/>
          <a:r>
            <a:rPr lang="nl-NL" sz="1100">
              <a:solidFill>
                <a:schemeClr val="dk1"/>
              </a:solidFill>
              <a:latin typeface="+mn-lt"/>
              <a:ea typeface="+mn-ea"/>
              <a:cs typeface="+mn-cs"/>
            </a:rPr>
            <a:t>Vul het lichaamsgewicht in op veld </a:t>
          </a:r>
          <a:r>
            <a:rPr lang="nl-NL" sz="1100" b="1">
              <a:solidFill>
                <a:schemeClr val="dk1"/>
              </a:solidFill>
              <a:latin typeface="+mn-lt"/>
              <a:ea typeface="+mn-ea"/>
              <a:cs typeface="+mn-cs"/>
            </a:rPr>
            <a:t>D8</a:t>
          </a:r>
          <a:r>
            <a:rPr lang="nl-NL" sz="1100">
              <a:solidFill>
                <a:schemeClr val="dk1"/>
              </a:solidFill>
              <a:latin typeface="+mn-lt"/>
              <a:ea typeface="+mn-ea"/>
              <a:cs typeface="+mn-cs"/>
            </a:rPr>
            <a:t>. Na &lt;enter&gt; verschijnt het berekende metabole gewicht in veld </a:t>
          </a:r>
          <a:r>
            <a:rPr lang="nl-NL" sz="1100" b="1">
              <a:solidFill>
                <a:schemeClr val="dk1"/>
              </a:solidFill>
              <a:latin typeface="+mn-lt"/>
              <a:ea typeface="+mn-ea"/>
              <a:cs typeface="+mn-cs"/>
            </a:rPr>
            <a:t>D9</a:t>
          </a:r>
          <a:r>
            <a:rPr lang="nl-NL" sz="1100">
              <a:solidFill>
                <a:schemeClr val="dk1"/>
              </a:solidFill>
              <a:latin typeface="+mn-lt"/>
              <a:ea typeface="+mn-ea"/>
              <a:cs typeface="+mn-cs"/>
            </a:rPr>
            <a:t>. </a:t>
          </a:r>
        </a:p>
        <a:p>
          <a:pPr lvl="0"/>
          <a:r>
            <a:rPr lang="nl-NL" sz="1100">
              <a:solidFill>
                <a:schemeClr val="dk1"/>
              </a:solidFill>
              <a:latin typeface="+mn-lt"/>
              <a:ea typeface="+mn-ea"/>
              <a:cs typeface="+mn-cs"/>
            </a:rPr>
            <a:t>Andere gegevens zoals type ingreep, verwachte tijdsduur van de ingreep kunnen ingevuld worden in resp. velden </a:t>
          </a:r>
          <a:r>
            <a:rPr lang="nl-NL" sz="1100" b="1">
              <a:solidFill>
                <a:schemeClr val="dk1"/>
              </a:solidFill>
              <a:latin typeface="+mn-lt"/>
              <a:ea typeface="+mn-ea"/>
              <a:cs typeface="+mn-cs"/>
            </a:rPr>
            <a:t>G7</a:t>
          </a:r>
          <a:r>
            <a:rPr lang="nl-NL" sz="1100">
              <a:solidFill>
                <a:schemeClr val="dk1"/>
              </a:solidFill>
              <a:latin typeface="+mn-lt"/>
              <a:ea typeface="+mn-ea"/>
              <a:cs typeface="+mn-cs"/>
            </a:rPr>
            <a:t> en </a:t>
          </a:r>
          <a:r>
            <a:rPr lang="nl-NL" sz="1100" b="1">
              <a:solidFill>
                <a:schemeClr val="dk1"/>
              </a:solidFill>
              <a:latin typeface="+mn-lt"/>
              <a:ea typeface="+mn-ea"/>
              <a:cs typeface="+mn-cs"/>
            </a:rPr>
            <a:t>G8</a:t>
          </a:r>
          <a:r>
            <a:rPr lang="nl-NL" sz="1100">
              <a:solidFill>
                <a:schemeClr val="dk1"/>
              </a:solidFill>
              <a:latin typeface="+mn-lt"/>
              <a:ea typeface="+mn-ea"/>
              <a:cs typeface="+mn-cs"/>
            </a:rPr>
            <a:t>.</a:t>
          </a:r>
        </a:p>
        <a:p>
          <a:pPr lvl="0"/>
          <a:r>
            <a:rPr lang="nl-NL" sz="1100">
              <a:solidFill>
                <a:schemeClr val="dk1"/>
              </a:solidFill>
              <a:latin typeface="+mn-lt"/>
              <a:ea typeface="+mn-ea"/>
              <a:cs typeface="+mn-cs"/>
            </a:rPr>
            <a:t>Overal waar een ‘1’ is ingevuld in kolom A voor een medicament, verschijnt de berekende dosering voor dat medicament. De velden in kolom A beïnvloeden elkaar. Zo zijn b.v. meloxicam hond en meloxicam kat gekoppeld. Een ‘1’ in  </a:t>
          </a:r>
          <a:r>
            <a:rPr lang="nl-NL" sz="1100" b="1">
              <a:solidFill>
                <a:schemeClr val="dk1"/>
              </a:solidFill>
              <a:latin typeface="+mn-lt"/>
              <a:ea typeface="+mn-ea"/>
              <a:cs typeface="+mn-cs"/>
            </a:rPr>
            <a:t>A21</a:t>
          </a:r>
          <a:r>
            <a:rPr lang="nl-NL" sz="1100">
              <a:solidFill>
                <a:schemeClr val="dk1"/>
              </a:solidFill>
              <a:latin typeface="+mn-lt"/>
              <a:ea typeface="+mn-ea"/>
              <a:cs typeface="+mn-cs"/>
            </a:rPr>
            <a:t> voor meloxicam zorgt ervoor dat de ‘1’ in </a:t>
          </a:r>
          <a:r>
            <a:rPr lang="nl-NL" sz="1100" b="1">
              <a:solidFill>
                <a:schemeClr val="dk1"/>
              </a:solidFill>
              <a:latin typeface="+mn-lt"/>
              <a:ea typeface="+mn-ea"/>
              <a:cs typeface="+mn-cs"/>
            </a:rPr>
            <a:t>A20</a:t>
          </a:r>
          <a:r>
            <a:rPr lang="nl-NL" sz="1100">
              <a:solidFill>
                <a:schemeClr val="dk1"/>
              </a:solidFill>
              <a:latin typeface="+mn-lt"/>
              <a:ea typeface="+mn-ea"/>
              <a:cs typeface="+mn-cs"/>
            </a:rPr>
            <a:t> verdwijnt. Ditzelfde geldt voor acepromazine en (dex)medetomidine. Hierbij wordt ook de berekende dosering voor overige medicamenten automatisch aangepast. Wanneer er gekozen wordt voor óf  propofol  óf alfaxalone verdwijnt de end-tidal concentratie van isofluraan.</a:t>
          </a:r>
        </a:p>
        <a:p>
          <a:pPr lvl="0"/>
          <a:endParaRPr lang="nl-NL" sz="1100">
            <a:solidFill>
              <a:schemeClr val="dk1"/>
            </a:solidFill>
            <a:latin typeface="+mn-lt"/>
            <a:ea typeface="+mn-ea"/>
            <a:cs typeface="+mn-cs"/>
          </a:endParaRPr>
        </a:p>
        <a:p>
          <a:pPr lvl="0"/>
          <a:r>
            <a:rPr lang="nl-NL" sz="1100" b="1">
              <a:solidFill>
                <a:schemeClr val="dk1"/>
              </a:solidFill>
              <a:latin typeface="+mn-lt"/>
              <a:ea typeface="+mn-ea"/>
              <a:cs typeface="+mn-cs"/>
            </a:rPr>
            <a:t>Premedicatie;</a:t>
          </a:r>
          <a:r>
            <a:rPr lang="nl-NL" sz="1100">
              <a:solidFill>
                <a:schemeClr val="dk1"/>
              </a:solidFill>
              <a:latin typeface="+mn-lt"/>
              <a:ea typeface="+mn-ea"/>
              <a:cs typeface="+mn-cs"/>
            </a:rPr>
            <a:t> </a:t>
          </a:r>
        </a:p>
        <a:p>
          <a:pPr lvl="0"/>
          <a:r>
            <a:rPr lang="nl-NL" sz="1100">
              <a:solidFill>
                <a:schemeClr val="dk1"/>
              </a:solidFill>
              <a:latin typeface="+mn-lt"/>
              <a:ea typeface="+mn-ea"/>
              <a:cs typeface="+mn-cs"/>
            </a:rPr>
            <a:t>Belangrijkste  keuzen;  Maropitant, (dex)medetomidine of acepromazine, buprenorfine of methadon.</a:t>
          </a:r>
        </a:p>
        <a:p>
          <a:pPr lvl="0"/>
          <a:r>
            <a:rPr lang="nl-NL" sz="1100" b="1">
              <a:solidFill>
                <a:schemeClr val="dk1"/>
              </a:solidFill>
              <a:latin typeface="+mn-lt"/>
              <a:ea typeface="+mn-ea"/>
              <a:cs typeface="+mn-cs"/>
            </a:rPr>
            <a:t>Acepromazine is verdund!!  tot 1 mg.ml</a:t>
          </a:r>
          <a:r>
            <a:rPr lang="nl-NL" sz="1100">
              <a:solidFill>
                <a:schemeClr val="dk1"/>
              </a:solidFill>
              <a:latin typeface="+mn-lt"/>
              <a:ea typeface="+mn-ea"/>
              <a:cs typeface="+mn-cs"/>
            </a:rPr>
            <a:t>.</a:t>
          </a:r>
          <a:r>
            <a:rPr lang="nl-NL" sz="1100" baseline="0">
              <a:solidFill>
                <a:schemeClr val="dk1"/>
              </a:solidFill>
              <a:latin typeface="+mn-lt"/>
              <a:ea typeface="+mn-ea"/>
              <a:cs typeface="+mn-cs"/>
            </a:rPr>
            <a:t> (1 deel acepr.10mg/ml. in 9 delen steriel water voor injectie.</a:t>
          </a:r>
          <a:endParaRPr lang="nl-NL" sz="1100">
            <a:solidFill>
              <a:schemeClr val="dk1"/>
            </a:solidFill>
            <a:latin typeface="+mn-lt"/>
            <a:ea typeface="+mn-ea"/>
            <a:cs typeface="+mn-cs"/>
          </a:endParaRPr>
        </a:p>
        <a:p>
          <a:pPr lvl="0"/>
          <a:endParaRPr lang="nl-NL" sz="1100" b="1">
            <a:solidFill>
              <a:schemeClr val="dk1"/>
            </a:solidFill>
            <a:latin typeface="+mn-lt"/>
            <a:ea typeface="+mn-ea"/>
            <a:cs typeface="+mn-cs"/>
          </a:endParaRPr>
        </a:p>
        <a:p>
          <a:pPr lvl="0"/>
          <a:r>
            <a:rPr lang="en-US" sz="1100" b="1">
              <a:solidFill>
                <a:schemeClr val="dk1"/>
              </a:solidFill>
              <a:latin typeface="+mn-lt"/>
              <a:ea typeface="+mn-ea"/>
              <a:cs typeface="+mn-cs"/>
            </a:rPr>
            <a:t>Intraveneus</a:t>
          </a:r>
          <a:r>
            <a:rPr lang="en-US" sz="1100" b="1" baseline="0">
              <a:solidFill>
                <a:schemeClr val="dk1"/>
              </a:solidFill>
              <a:latin typeface="+mn-lt"/>
              <a:ea typeface="+mn-ea"/>
              <a:cs typeface="+mn-cs"/>
            </a:rPr>
            <a:t> + inductie;</a:t>
          </a:r>
          <a:endParaRPr lang="en-US" sz="1100" b="1">
            <a:solidFill>
              <a:schemeClr val="dk1"/>
            </a:solidFill>
            <a:latin typeface="+mn-lt"/>
            <a:ea typeface="+mn-ea"/>
            <a:cs typeface="+mn-cs"/>
          </a:endParaRPr>
        </a:p>
        <a:p>
          <a:pPr lvl="0"/>
          <a:r>
            <a:rPr lang="en-US" sz="1100">
              <a:solidFill>
                <a:schemeClr val="dk1"/>
              </a:solidFill>
              <a:latin typeface="+mn-lt"/>
              <a:ea typeface="+mn-ea"/>
              <a:cs typeface="+mn-cs"/>
            </a:rPr>
            <a:t>keuzen;  meloxicam  hond of kat,  alfaxalone of propofol. </a:t>
          </a:r>
          <a:r>
            <a:rPr lang="nl-NL" sz="1100">
              <a:solidFill>
                <a:schemeClr val="dk1"/>
              </a:solidFill>
              <a:latin typeface="+mn-lt"/>
              <a:ea typeface="+mn-ea"/>
              <a:cs typeface="+mn-cs"/>
            </a:rPr>
            <a:t>  Kefzol is een voorbeeld van een intraveneus antibioticum (cefalosporine) dat intra-operatief gebruikt kan worden.</a:t>
          </a:r>
        </a:p>
        <a:p>
          <a:pPr lvl="0"/>
          <a:r>
            <a:rPr lang="nl-NL" sz="1100">
              <a:solidFill>
                <a:schemeClr val="dk1"/>
              </a:solidFill>
              <a:latin typeface="+mn-lt"/>
              <a:ea typeface="+mn-ea"/>
              <a:cs typeface="+mn-cs"/>
            </a:rPr>
            <a:t>De </a:t>
          </a:r>
          <a:r>
            <a:rPr lang="nl-NL" sz="1100" b="1">
              <a:solidFill>
                <a:schemeClr val="dk1"/>
              </a:solidFill>
              <a:latin typeface="+mn-lt"/>
              <a:ea typeface="+mn-ea"/>
              <a:cs typeface="+mn-cs"/>
            </a:rPr>
            <a:t>Alfaxan wordt direct voor gebruik 1:1 verdund tot 5 mg/ml</a:t>
          </a:r>
          <a:r>
            <a:rPr lang="nl-NL" sz="1100">
              <a:solidFill>
                <a:schemeClr val="dk1"/>
              </a:solidFill>
              <a:latin typeface="+mn-lt"/>
              <a:ea typeface="+mn-ea"/>
              <a:cs typeface="+mn-cs"/>
            </a:rPr>
            <a:t> met b.v. ringer ( 1 deel alfaxan 10 mg/ml in 1 deel ringer).</a:t>
          </a:r>
        </a:p>
        <a:p>
          <a:pPr lvl="0"/>
          <a:endParaRPr lang="nl-NL" sz="1100" b="1">
            <a:solidFill>
              <a:schemeClr val="dk1"/>
            </a:solidFill>
            <a:latin typeface="+mn-lt"/>
            <a:ea typeface="+mn-ea"/>
            <a:cs typeface="+mn-cs"/>
          </a:endParaRPr>
        </a:p>
        <a:p>
          <a:pPr lvl="0"/>
          <a:r>
            <a:rPr lang="nl-NL" sz="1100" b="1">
              <a:solidFill>
                <a:schemeClr val="dk1"/>
              </a:solidFill>
              <a:latin typeface="+mn-lt"/>
              <a:ea typeface="+mn-ea"/>
              <a:cs typeface="+mn-cs"/>
            </a:rPr>
            <a:t>Onderhoud;</a:t>
          </a:r>
          <a:r>
            <a:rPr lang="nl-NL" sz="1100">
              <a:solidFill>
                <a:schemeClr val="dk1"/>
              </a:solidFill>
              <a:latin typeface="+mn-lt"/>
              <a:ea typeface="+mn-ea"/>
              <a:cs typeface="+mn-cs"/>
            </a:rPr>
            <a:t> </a:t>
          </a:r>
        </a:p>
        <a:p>
          <a:pPr lvl="0"/>
          <a:r>
            <a:rPr lang="nl-NL" sz="1100">
              <a:solidFill>
                <a:schemeClr val="dk1"/>
              </a:solidFill>
              <a:latin typeface="+mn-lt"/>
              <a:ea typeface="+mn-ea"/>
              <a:cs typeface="+mn-cs"/>
            </a:rPr>
            <a:t>Kies </a:t>
          </a:r>
          <a:r>
            <a:rPr lang="nl-NL" sz="1100" b="1" i="1">
              <a:solidFill>
                <a:schemeClr val="dk1"/>
              </a:solidFill>
              <a:latin typeface="+mn-lt"/>
              <a:ea typeface="+mn-ea"/>
              <a:cs typeface="+mn-cs"/>
            </a:rPr>
            <a:t> CRI</a:t>
          </a:r>
          <a:r>
            <a:rPr lang="nl-NL" sz="1100" b="0" i="0">
              <a:solidFill>
                <a:schemeClr val="dk1"/>
              </a:solidFill>
              <a:latin typeface="+mn-lt"/>
              <a:ea typeface="+mn-ea"/>
              <a:cs typeface="+mn-cs"/>
            </a:rPr>
            <a:t> of </a:t>
          </a:r>
          <a:r>
            <a:rPr lang="nl-NL" sz="1100" b="1" i="1">
              <a:solidFill>
                <a:schemeClr val="dk1"/>
              </a:solidFill>
              <a:latin typeface="+mn-lt"/>
              <a:ea typeface="+mn-ea"/>
              <a:cs typeface="+mn-cs"/>
            </a:rPr>
            <a:t>damp</a:t>
          </a:r>
          <a:r>
            <a:rPr lang="nl-NL" sz="1100" b="0" i="0" baseline="0">
              <a:solidFill>
                <a:schemeClr val="dk1"/>
              </a:solidFill>
              <a:latin typeface="+mn-lt"/>
              <a:ea typeface="+mn-ea"/>
              <a:cs typeface="+mn-cs"/>
            </a:rPr>
            <a:t> door in </a:t>
          </a:r>
          <a:r>
            <a:rPr lang="nl-NL" sz="1100" b="1" i="0" baseline="0">
              <a:solidFill>
                <a:schemeClr val="dk1"/>
              </a:solidFill>
              <a:latin typeface="+mn-lt"/>
              <a:ea typeface="+mn-ea"/>
              <a:cs typeface="+mn-cs"/>
            </a:rPr>
            <a:t>A27</a:t>
          </a:r>
          <a:r>
            <a:rPr lang="nl-NL" sz="1100" b="0" i="0" baseline="0">
              <a:solidFill>
                <a:schemeClr val="dk1"/>
              </a:solidFill>
              <a:latin typeface="+mn-lt"/>
              <a:ea typeface="+mn-ea"/>
              <a:cs typeface="+mn-cs"/>
            </a:rPr>
            <a:t> de '1' te laten staan of te deleten. Als voor </a:t>
          </a:r>
          <a:r>
            <a:rPr lang="nl-NL" sz="1100" b="1" i="1" baseline="0">
              <a:solidFill>
                <a:schemeClr val="dk1"/>
              </a:solidFill>
              <a:latin typeface="+mn-lt"/>
              <a:ea typeface="+mn-ea"/>
              <a:cs typeface="+mn-cs"/>
            </a:rPr>
            <a:t>CRI </a:t>
          </a:r>
          <a:r>
            <a:rPr lang="nl-NL" sz="1100" b="0" i="0" baseline="0">
              <a:solidFill>
                <a:schemeClr val="dk1"/>
              </a:solidFill>
              <a:latin typeface="+mn-lt"/>
              <a:ea typeface="+mn-ea"/>
              <a:cs typeface="+mn-cs"/>
            </a:rPr>
            <a:t>wordt gekozen wordt de keuze voor propofol of alfaxan bepaald door de eerder gemaakte keuze(inductie) . Wordt voor </a:t>
          </a:r>
          <a:r>
            <a:rPr lang="nl-NL" sz="1100" b="1" i="1" baseline="0">
              <a:solidFill>
                <a:schemeClr val="dk1"/>
              </a:solidFill>
              <a:latin typeface="+mn-lt"/>
              <a:ea typeface="+mn-ea"/>
              <a:cs typeface="+mn-cs"/>
            </a:rPr>
            <a:t>damp</a:t>
          </a:r>
          <a:r>
            <a:rPr lang="nl-NL" sz="1100" b="0" i="0" baseline="0">
              <a:solidFill>
                <a:schemeClr val="dk1"/>
              </a:solidFill>
              <a:latin typeface="+mn-lt"/>
              <a:ea typeface="+mn-ea"/>
              <a:cs typeface="+mn-cs"/>
            </a:rPr>
            <a:t> gekozen dan verschijnt de gewenste  </a:t>
          </a:r>
          <a:r>
            <a:rPr lang="nl-NL" sz="1100" b="1" i="0" baseline="0">
              <a:solidFill>
                <a:schemeClr val="dk1"/>
              </a:solidFill>
              <a:latin typeface="+mn-lt"/>
              <a:ea typeface="+mn-ea"/>
              <a:cs typeface="+mn-cs"/>
            </a:rPr>
            <a:t>end-tidal </a:t>
          </a:r>
          <a:r>
            <a:rPr lang="nl-NL" sz="1100" b="0" i="0" baseline="0">
              <a:solidFill>
                <a:schemeClr val="dk1"/>
              </a:solidFill>
              <a:latin typeface="+mn-lt"/>
              <a:ea typeface="+mn-ea"/>
              <a:cs typeface="+mn-cs"/>
            </a:rPr>
            <a:t>isofluraan concentratie + de tijd wanneer deze concentratie ongeveer bereikt moet zijn. Uiteraard kan deze waarde alleen gebruikt worden wanneer de  expiratoir en de inspiratoire concentratie isofluraan gemeten worden.  (een aantal capnograven biedt deze optie)</a:t>
          </a:r>
          <a:endParaRPr lang="nl-NL" sz="1100">
            <a:solidFill>
              <a:schemeClr val="dk1"/>
            </a:solidFill>
            <a:latin typeface="+mn-lt"/>
            <a:ea typeface="+mn-ea"/>
            <a:cs typeface="+mn-cs"/>
          </a:endParaRPr>
        </a:p>
        <a:p>
          <a:pPr lvl="0"/>
          <a:endParaRPr lang="nl-NL" sz="1100">
            <a:solidFill>
              <a:schemeClr val="dk1"/>
            </a:solidFill>
            <a:latin typeface="+mn-lt"/>
            <a:ea typeface="+mn-ea"/>
            <a:cs typeface="+mn-cs"/>
          </a:endParaRPr>
        </a:p>
        <a:p>
          <a:pPr lvl="0"/>
          <a:r>
            <a:rPr lang="nl-NL" sz="1100" b="1">
              <a:solidFill>
                <a:schemeClr val="dk1"/>
              </a:solidFill>
              <a:latin typeface="+mn-lt"/>
              <a:ea typeface="+mn-ea"/>
              <a:cs typeface="+mn-cs"/>
            </a:rPr>
            <a:t>Vloeistof: </a:t>
          </a:r>
          <a:r>
            <a:rPr lang="nl-NL" sz="1100">
              <a:solidFill>
                <a:schemeClr val="dk1"/>
              </a:solidFill>
              <a:latin typeface="+mn-lt"/>
              <a:ea typeface="+mn-ea"/>
              <a:cs typeface="+mn-cs"/>
            </a:rPr>
            <a:t>Afhankelijk van of er Methadon of Buprenorfine is gekozen</a:t>
          </a:r>
          <a:r>
            <a:rPr lang="nl-NL" sz="1100" baseline="0">
              <a:solidFill>
                <a:schemeClr val="dk1"/>
              </a:solidFill>
              <a:latin typeface="+mn-lt"/>
              <a:ea typeface="+mn-ea"/>
              <a:cs typeface="+mn-cs"/>
            </a:rPr>
            <a:t> in de premedicatie is de keuze voor wel of geen (D)MLK al gemaakt;  Geen (D)MLK na Buprenorfine.</a:t>
          </a:r>
          <a:endParaRPr lang="nl-NL" sz="1100">
            <a:solidFill>
              <a:schemeClr val="dk1"/>
            </a:solidFill>
            <a:latin typeface="+mn-lt"/>
            <a:ea typeface="+mn-ea"/>
            <a:cs typeface="+mn-cs"/>
          </a:endParaRPr>
        </a:p>
        <a:p>
          <a:pPr lvl="0"/>
          <a:endParaRPr lang="nl-NL" sz="1100" b="1">
            <a:solidFill>
              <a:schemeClr val="dk1"/>
            </a:solidFill>
            <a:latin typeface="+mn-lt"/>
            <a:ea typeface="+mn-ea"/>
            <a:cs typeface="+mn-cs"/>
          </a:endParaRPr>
        </a:p>
        <a:p>
          <a:r>
            <a:rPr lang="nl-NL" sz="1100" b="1">
              <a:solidFill>
                <a:schemeClr val="dk1"/>
              </a:solidFill>
              <a:latin typeface="+mn-lt"/>
              <a:ea typeface="+mn-ea"/>
              <a:cs typeface="+mn-cs"/>
            </a:rPr>
            <a:t>Disclaimer;</a:t>
          </a:r>
        </a:p>
        <a:p>
          <a:r>
            <a:rPr lang="nl-NL" sz="1100">
              <a:solidFill>
                <a:schemeClr val="dk1"/>
              </a:solidFill>
              <a:latin typeface="+mn-lt"/>
              <a:ea typeface="+mn-ea"/>
              <a:cs typeface="+mn-cs"/>
            </a:rPr>
            <a:t>Gebruik van dit hulpmiddel is geheel voor eigen risico. De maker aanvaardt geen enkele aansprakelijkheid.</a:t>
          </a:r>
        </a:p>
        <a:p>
          <a:endParaRPr lang="nl-NL" sz="900">
            <a:solidFill>
              <a:schemeClr val="accent5">
                <a:lumMod val="75000"/>
              </a:schemeClr>
            </a:solidFill>
            <a:latin typeface="+mn-lt"/>
            <a:ea typeface="+mn-ea"/>
            <a:cs typeface="+mn-cs"/>
          </a:endParaRPr>
        </a:p>
        <a:p>
          <a:r>
            <a:rPr lang="nl-NL" sz="900">
              <a:solidFill>
                <a:schemeClr val="accent5">
                  <a:lumMod val="75000"/>
                </a:schemeClr>
              </a:solidFill>
              <a:latin typeface="+mn-lt"/>
              <a:ea typeface="+mn-ea"/>
              <a:cs typeface="+mn-cs"/>
            </a:rPr>
            <a:t>©Nieuwendijk diergeneeskunde B.V.</a:t>
          </a:r>
        </a:p>
        <a:p>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showGridLines="0" tabSelected="1" zoomScale="150" zoomScaleNormal="150" workbookViewId="0">
      <selection activeCell="D7" sqref="D7:E7"/>
    </sheetView>
  </sheetViews>
  <sheetFormatPr defaultRowHeight="15" x14ac:dyDescent="0.25"/>
  <cols>
    <col min="1" max="1" width="4.28515625" style="1" customWidth="1"/>
    <col min="2" max="2" width="17.42578125" style="2" customWidth="1"/>
    <col min="3" max="3" width="22.85546875" customWidth="1"/>
    <col min="4" max="4" width="8" style="44" customWidth="1"/>
    <col min="5" max="5" width="6.42578125" customWidth="1"/>
    <col min="6" max="6" width="6" customWidth="1"/>
    <col min="7" max="7" width="6.42578125" customWidth="1"/>
    <col min="8" max="8" width="4.7109375" customWidth="1"/>
    <col min="9" max="9" width="9.140625" customWidth="1"/>
    <col min="257" max="257" width="4.28515625" customWidth="1"/>
    <col min="258" max="258" width="15.7109375" customWidth="1"/>
    <col min="259" max="259" width="15.5703125" customWidth="1"/>
    <col min="260" max="260" width="8" customWidth="1"/>
    <col min="261" max="261" width="6.42578125" customWidth="1"/>
    <col min="262" max="262" width="8.28515625" customWidth="1"/>
    <col min="263" max="263" width="9.7109375" customWidth="1"/>
    <col min="513" max="513" width="4.28515625" customWidth="1"/>
    <col min="514" max="514" width="15.7109375" customWidth="1"/>
    <col min="515" max="515" width="15.5703125" customWidth="1"/>
    <col min="516" max="516" width="8" customWidth="1"/>
    <col min="517" max="517" width="6.42578125" customWidth="1"/>
    <col min="518" max="518" width="8.28515625" customWidth="1"/>
    <col min="519" max="519" width="9.7109375" customWidth="1"/>
    <col min="769" max="769" width="4.28515625" customWidth="1"/>
    <col min="770" max="770" width="15.7109375" customWidth="1"/>
    <col min="771" max="771" width="15.5703125" customWidth="1"/>
    <col min="772" max="772" width="8" customWidth="1"/>
    <col min="773" max="773" width="6.42578125" customWidth="1"/>
    <col min="774" max="774" width="8.28515625" customWidth="1"/>
    <col min="775" max="775" width="9.7109375" customWidth="1"/>
    <col min="1025" max="1025" width="4.28515625" customWidth="1"/>
    <col min="1026" max="1026" width="15.7109375" customWidth="1"/>
    <col min="1027" max="1027" width="15.5703125" customWidth="1"/>
    <col min="1028" max="1028" width="8" customWidth="1"/>
    <col min="1029" max="1029" width="6.42578125" customWidth="1"/>
    <col min="1030" max="1030" width="8.28515625" customWidth="1"/>
    <col min="1031" max="1031" width="9.7109375" customWidth="1"/>
    <col min="1281" max="1281" width="4.28515625" customWidth="1"/>
    <col min="1282" max="1282" width="15.7109375" customWidth="1"/>
    <col min="1283" max="1283" width="15.5703125" customWidth="1"/>
    <col min="1284" max="1284" width="8" customWidth="1"/>
    <col min="1285" max="1285" width="6.42578125" customWidth="1"/>
    <col min="1286" max="1286" width="8.28515625" customWidth="1"/>
    <col min="1287" max="1287" width="9.7109375" customWidth="1"/>
    <col min="1537" max="1537" width="4.28515625" customWidth="1"/>
    <col min="1538" max="1538" width="15.7109375" customWidth="1"/>
    <col min="1539" max="1539" width="15.5703125" customWidth="1"/>
    <col min="1540" max="1540" width="8" customWidth="1"/>
    <col min="1541" max="1541" width="6.42578125" customWidth="1"/>
    <col min="1542" max="1542" width="8.28515625" customWidth="1"/>
    <col min="1543" max="1543" width="9.7109375" customWidth="1"/>
    <col min="1793" max="1793" width="4.28515625" customWidth="1"/>
    <col min="1794" max="1794" width="15.7109375" customWidth="1"/>
    <col min="1795" max="1795" width="15.5703125" customWidth="1"/>
    <col min="1796" max="1796" width="8" customWidth="1"/>
    <col min="1797" max="1797" width="6.42578125" customWidth="1"/>
    <col min="1798" max="1798" width="8.28515625" customWidth="1"/>
    <col min="1799" max="1799" width="9.7109375" customWidth="1"/>
    <col min="2049" max="2049" width="4.28515625" customWidth="1"/>
    <col min="2050" max="2050" width="15.7109375" customWidth="1"/>
    <col min="2051" max="2051" width="15.5703125" customWidth="1"/>
    <col min="2052" max="2052" width="8" customWidth="1"/>
    <col min="2053" max="2053" width="6.42578125" customWidth="1"/>
    <col min="2054" max="2054" width="8.28515625" customWidth="1"/>
    <col min="2055" max="2055" width="9.7109375" customWidth="1"/>
    <col min="2305" max="2305" width="4.28515625" customWidth="1"/>
    <col min="2306" max="2306" width="15.7109375" customWidth="1"/>
    <col min="2307" max="2307" width="15.5703125" customWidth="1"/>
    <col min="2308" max="2308" width="8" customWidth="1"/>
    <col min="2309" max="2309" width="6.42578125" customWidth="1"/>
    <col min="2310" max="2310" width="8.28515625" customWidth="1"/>
    <col min="2311" max="2311" width="9.7109375" customWidth="1"/>
    <col min="2561" max="2561" width="4.28515625" customWidth="1"/>
    <col min="2562" max="2562" width="15.7109375" customWidth="1"/>
    <col min="2563" max="2563" width="15.5703125" customWidth="1"/>
    <col min="2564" max="2564" width="8" customWidth="1"/>
    <col min="2565" max="2565" width="6.42578125" customWidth="1"/>
    <col min="2566" max="2566" width="8.28515625" customWidth="1"/>
    <col min="2567" max="2567" width="9.7109375" customWidth="1"/>
    <col min="2817" max="2817" width="4.28515625" customWidth="1"/>
    <col min="2818" max="2818" width="15.7109375" customWidth="1"/>
    <col min="2819" max="2819" width="15.5703125" customWidth="1"/>
    <col min="2820" max="2820" width="8" customWidth="1"/>
    <col min="2821" max="2821" width="6.42578125" customWidth="1"/>
    <col min="2822" max="2822" width="8.28515625" customWidth="1"/>
    <col min="2823" max="2823" width="9.7109375" customWidth="1"/>
    <col min="3073" max="3073" width="4.28515625" customWidth="1"/>
    <col min="3074" max="3074" width="15.7109375" customWidth="1"/>
    <col min="3075" max="3075" width="15.5703125" customWidth="1"/>
    <col min="3076" max="3076" width="8" customWidth="1"/>
    <col min="3077" max="3077" width="6.42578125" customWidth="1"/>
    <col min="3078" max="3078" width="8.28515625" customWidth="1"/>
    <col min="3079" max="3079" width="9.7109375" customWidth="1"/>
    <col min="3329" max="3329" width="4.28515625" customWidth="1"/>
    <col min="3330" max="3330" width="15.7109375" customWidth="1"/>
    <col min="3331" max="3331" width="15.5703125" customWidth="1"/>
    <col min="3332" max="3332" width="8" customWidth="1"/>
    <col min="3333" max="3333" width="6.42578125" customWidth="1"/>
    <col min="3334" max="3334" width="8.28515625" customWidth="1"/>
    <col min="3335" max="3335" width="9.7109375" customWidth="1"/>
    <col min="3585" max="3585" width="4.28515625" customWidth="1"/>
    <col min="3586" max="3586" width="15.7109375" customWidth="1"/>
    <col min="3587" max="3587" width="15.5703125" customWidth="1"/>
    <col min="3588" max="3588" width="8" customWidth="1"/>
    <col min="3589" max="3589" width="6.42578125" customWidth="1"/>
    <col min="3590" max="3590" width="8.28515625" customWidth="1"/>
    <col min="3591" max="3591" width="9.7109375" customWidth="1"/>
    <col min="3841" max="3841" width="4.28515625" customWidth="1"/>
    <col min="3842" max="3842" width="15.7109375" customWidth="1"/>
    <col min="3843" max="3843" width="15.5703125" customWidth="1"/>
    <col min="3844" max="3844" width="8" customWidth="1"/>
    <col min="3845" max="3845" width="6.42578125" customWidth="1"/>
    <col min="3846" max="3846" width="8.28515625" customWidth="1"/>
    <col min="3847" max="3847" width="9.7109375" customWidth="1"/>
    <col min="4097" max="4097" width="4.28515625" customWidth="1"/>
    <col min="4098" max="4098" width="15.7109375" customWidth="1"/>
    <col min="4099" max="4099" width="15.5703125" customWidth="1"/>
    <col min="4100" max="4100" width="8" customWidth="1"/>
    <col min="4101" max="4101" width="6.42578125" customWidth="1"/>
    <col min="4102" max="4102" width="8.28515625" customWidth="1"/>
    <col min="4103" max="4103" width="9.7109375" customWidth="1"/>
    <col min="4353" max="4353" width="4.28515625" customWidth="1"/>
    <col min="4354" max="4354" width="15.7109375" customWidth="1"/>
    <col min="4355" max="4355" width="15.5703125" customWidth="1"/>
    <col min="4356" max="4356" width="8" customWidth="1"/>
    <col min="4357" max="4357" width="6.42578125" customWidth="1"/>
    <col min="4358" max="4358" width="8.28515625" customWidth="1"/>
    <col min="4359" max="4359" width="9.7109375" customWidth="1"/>
    <col min="4609" max="4609" width="4.28515625" customWidth="1"/>
    <col min="4610" max="4610" width="15.7109375" customWidth="1"/>
    <col min="4611" max="4611" width="15.5703125" customWidth="1"/>
    <col min="4612" max="4612" width="8" customWidth="1"/>
    <col min="4613" max="4613" width="6.42578125" customWidth="1"/>
    <col min="4614" max="4614" width="8.28515625" customWidth="1"/>
    <col min="4615" max="4615" width="9.7109375" customWidth="1"/>
    <col min="4865" max="4865" width="4.28515625" customWidth="1"/>
    <col min="4866" max="4866" width="15.7109375" customWidth="1"/>
    <col min="4867" max="4867" width="15.5703125" customWidth="1"/>
    <col min="4868" max="4868" width="8" customWidth="1"/>
    <col min="4869" max="4869" width="6.42578125" customWidth="1"/>
    <col min="4870" max="4870" width="8.28515625" customWidth="1"/>
    <col min="4871" max="4871" width="9.7109375" customWidth="1"/>
    <col min="5121" max="5121" width="4.28515625" customWidth="1"/>
    <col min="5122" max="5122" width="15.7109375" customWidth="1"/>
    <col min="5123" max="5123" width="15.5703125" customWidth="1"/>
    <col min="5124" max="5124" width="8" customWidth="1"/>
    <col min="5125" max="5125" width="6.42578125" customWidth="1"/>
    <col min="5126" max="5126" width="8.28515625" customWidth="1"/>
    <col min="5127" max="5127" width="9.7109375" customWidth="1"/>
    <col min="5377" max="5377" width="4.28515625" customWidth="1"/>
    <col min="5378" max="5378" width="15.7109375" customWidth="1"/>
    <col min="5379" max="5379" width="15.5703125" customWidth="1"/>
    <col min="5380" max="5380" width="8" customWidth="1"/>
    <col min="5381" max="5381" width="6.42578125" customWidth="1"/>
    <col min="5382" max="5382" width="8.28515625" customWidth="1"/>
    <col min="5383" max="5383" width="9.7109375" customWidth="1"/>
    <col min="5633" max="5633" width="4.28515625" customWidth="1"/>
    <col min="5634" max="5634" width="15.7109375" customWidth="1"/>
    <col min="5635" max="5635" width="15.5703125" customWidth="1"/>
    <col min="5636" max="5636" width="8" customWidth="1"/>
    <col min="5637" max="5637" width="6.42578125" customWidth="1"/>
    <col min="5638" max="5638" width="8.28515625" customWidth="1"/>
    <col min="5639" max="5639" width="9.7109375" customWidth="1"/>
    <col min="5889" max="5889" width="4.28515625" customWidth="1"/>
    <col min="5890" max="5890" width="15.7109375" customWidth="1"/>
    <col min="5891" max="5891" width="15.5703125" customWidth="1"/>
    <col min="5892" max="5892" width="8" customWidth="1"/>
    <col min="5893" max="5893" width="6.42578125" customWidth="1"/>
    <col min="5894" max="5894" width="8.28515625" customWidth="1"/>
    <col min="5895" max="5895" width="9.7109375" customWidth="1"/>
    <col min="6145" max="6145" width="4.28515625" customWidth="1"/>
    <col min="6146" max="6146" width="15.7109375" customWidth="1"/>
    <col min="6147" max="6147" width="15.5703125" customWidth="1"/>
    <col min="6148" max="6148" width="8" customWidth="1"/>
    <col min="6149" max="6149" width="6.42578125" customWidth="1"/>
    <col min="6150" max="6150" width="8.28515625" customWidth="1"/>
    <col min="6151" max="6151" width="9.7109375" customWidth="1"/>
    <col min="6401" max="6401" width="4.28515625" customWidth="1"/>
    <col min="6402" max="6402" width="15.7109375" customWidth="1"/>
    <col min="6403" max="6403" width="15.5703125" customWidth="1"/>
    <col min="6404" max="6404" width="8" customWidth="1"/>
    <col min="6405" max="6405" width="6.42578125" customWidth="1"/>
    <col min="6406" max="6406" width="8.28515625" customWidth="1"/>
    <col min="6407" max="6407" width="9.7109375" customWidth="1"/>
    <col min="6657" max="6657" width="4.28515625" customWidth="1"/>
    <col min="6658" max="6658" width="15.7109375" customWidth="1"/>
    <col min="6659" max="6659" width="15.5703125" customWidth="1"/>
    <col min="6660" max="6660" width="8" customWidth="1"/>
    <col min="6661" max="6661" width="6.42578125" customWidth="1"/>
    <col min="6662" max="6662" width="8.28515625" customWidth="1"/>
    <col min="6663" max="6663" width="9.7109375" customWidth="1"/>
    <col min="6913" max="6913" width="4.28515625" customWidth="1"/>
    <col min="6914" max="6914" width="15.7109375" customWidth="1"/>
    <col min="6915" max="6915" width="15.5703125" customWidth="1"/>
    <col min="6916" max="6916" width="8" customWidth="1"/>
    <col min="6917" max="6917" width="6.42578125" customWidth="1"/>
    <col min="6918" max="6918" width="8.28515625" customWidth="1"/>
    <col min="6919" max="6919" width="9.7109375" customWidth="1"/>
    <col min="7169" max="7169" width="4.28515625" customWidth="1"/>
    <col min="7170" max="7170" width="15.7109375" customWidth="1"/>
    <col min="7171" max="7171" width="15.5703125" customWidth="1"/>
    <col min="7172" max="7172" width="8" customWidth="1"/>
    <col min="7173" max="7173" width="6.42578125" customWidth="1"/>
    <col min="7174" max="7174" width="8.28515625" customWidth="1"/>
    <col min="7175" max="7175" width="9.7109375" customWidth="1"/>
    <col min="7425" max="7425" width="4.28515625" customWidth="1"/>
    <col min="7426" max="7426" width="15.7109375" customWidth="1"/>
    <col min="7427" max="7427" width="15.5703125" customWidth="1"/>
    <col min="7428" max="7428" width="8" customWidth="1"/>
    <col min="7429" max="7429" width="6.42578125" customWidth="1"/>
    <col min="7430" max="7430" width="8.28515625" customWidth="1"/>
    <col min="7431" max="7431" width="9.7109375" customWidth="1"/>
    <col min="7681" max="7681" width="4.28515625" customWidth="1"/>
    <col min="7682" max="7682" width="15.7109375" customWidth="1"/>
    <col min="7683" max="7683" width="15.5703125" customWidth="1"/>
    <col min="7684" max="7684" width="8" customWidth="1"/>
    <col min="7685" max="7685" width="6.42578125" customWidth="1"/>
    <col min="7686" max="7686" width="8.28515625" customWidth="1"/>
    <col min="7687" max="7687" width="9.7109375" customWidth="1"/>
    <col min="7937" max="7937" width="4.28515625" customWidth="1"/>
    <col min="7938" max="7938" width="15.7109375" customWidth="1"/>
    <col min="7939" max="7939" width="15.5703125" customWidth="1"/>
    <col min="7940" max="7940" width="8" customWidth="1"/>
    <col min="7941" max="7941" width="6.42578125" customWidth="1"/>
    <col min="7942" max="7942" width="8.28515625" customWidth="1"/>
    <col min="7943" max="7943" width="9.7109375" customWidth="1"/>
    <col min="8193" max="8193" width="4.28515625" customWidth="1"/>
    <col min="8194" max="8194" width="15.7109375" customWidth="1"/>
    <col min="8195" max="8195" width="15.5703125" customWidth="1"/>
    <col min="8196" max="8196" width="8" customWidth="1"/>
    <col min="8197" max="8197" width="6.42578125" customWidth="1"/>
    <col min="8198" max="8198" width="8.28515625" customWidth="1"/>
    <col min="8199" max="8199" width="9.7109375" customWidth="1"/>
    <col min="8449" max="8449" width="4.28515625" customWidth="1"/>
    <col min="8450" max="8450" width="15.7109375" customWidth="1"/>
    <col min="8451" max="8451" width="15.5703125" customWidth="1"/>
    <col min="8452" max="8452" width="8" customWidth="1"/>
    <col min="8453" max="8453" width="6.42578125" customWidth="1"/>
    <col min="8454" max="8454" width="8.28515625" customWidth="1"/>
    <col min="8455" max="8455" width="9.7109375" customWidth="1"/>
    <col min="8705" max="8705" width="4.28515625" customWidth="1"/>
    <col min="8706" max="8706" width="15.7109375" customWidth="1"/>
    <col min="8707" max="8707" width="15.5703125" customWidth="1"/>
    <col min="8708" max="8708" width="8" customWidth="1"/>
    <col min="8709" max="8709" width="6.42578125" customWidth="1"/>
    <col min="8710" max="8710" width="8.28515625" customWidth="1"/>
    <col min="8711" max="8711" width="9.7109375" customWidth="1"/>
    <col min="8961" max="8961" width="4.28515625" customWidth="1"/>
    <col min="8962" max="8962" width="15.7109375" customWidth="1"/>
    <col min="8963" max="8963" width="15.5703125" customWidth="1"/>
    <col min="8964" max="8964" width="8" customWidth="1"/>
    <col min="8965" max="8965" width="6.42578125" customWidth="1"/>
    <col min="8966" max="8966" width="8.28515625" customWidth="1"/>
    <col min="8967" max="8967" width="9.7109375" customWidth="1"/>
    <col min="9217" max="9217" width="4.28515625" customWidth="1"/>
    <col min="9218" max="9218" width="15.7109375" customWidth="1"/>
    <col min="9219" max="9219" width="15.5703125" customWidth="1"/>
    <col min="9220" max="9220" width="8" customWidth="1"/>
    <col min="9221" max="9221" width="6.42578125" customWidth="1"/>
    <col min="9222" max="9222" width="8.28515625" customWidth="1"/>
    <col min="9223" max="9223" width="9.7109375" customWidth="1"/>
    <col min="9473" max="9473" width="4.28515625" customWidth="1"/>
    <col min="9474" max="9474" width="15.7109375" customWidth="1"/>
    <col min="9475" max="9475" width="15.5703125" customWidth="1"/>
    <col min="9476" max="9476" width="8" customWidth="1"/>
    <col min="9477" max="9477" width="6.42578125" customWidth="1"/>
    <col min="9478" max="9478" width="8.28515625" customWidth="1"/>
    <col min="9479" max="9479" width="9.7109375" customWidth="1"/>
    <col min="9729" max="9729" width="4.28515625" customWidth="1"/>
    <col min="9730" max="9730" width="15.7109375" customWidth="1"/>
    <col min="9731" max="9731" width="15.5703125" customWidth="1"/>
    <col min="9732" max="9732" width="8" customWidth="1"/>
    <col min="9733" max="9733" width="6.42578125" customWidth="1"/>
    <col min="9734" max="9734" width="8.28515625" customWidth="1"/>
    <col min="9735" max="9735" width="9.7109375" customWidth="1"/>
    <col min="9985" max="9985" width="4.28515625" customWidth="1"/>
    <col min="9986" max="9986" width="15.7109375" customWidth="1"/>
    <col min="9987" max="9987" width="15.5703125" customWidth="1"/>
    <col min="9988" max="9988" width="8" customWidth="1"/>
    <col min="9989" max="9989" width="6.42578125" customWidth="1"/>
    <col min="9990" max="9990" width="8.28515625" customWidth="1"/>
    <col min="9991" max="9991" width="9.7109375" customWidth="1"/>
    <col min="10241" max="10241" width="4.28515625" customWidth="1"/>
    <col min="10242" max="10242" width="15.7109375" customWidth="1"/>
    <col min="10243" max="10243" width="15.5703125" customWidth="1"/>
    <col min="10244" max="10244" width="8" customWidth="1"/>
    <col min="10245" max="10245" width="6.42578125" customWidth="1"/>
    <col min="10246" max="10246" width="8.28515625" customWidth="1"/>
    <col min="10247" max="10247" width="9.7109375" customWidth="1"/>
    <col min="10497" max="10497" width="4.28515625" customWidth="1"/>
    <col min="10498" max="10498" width="15.7109375" customWidth="1"/>
    <col min="10499" max="10499" width="15.5703125" customWidth="1"/>
    <col min="10500" max="10500" width="8" customWidth="1"/>
    <col min="10501" max="10501" width="6.42578125" customWidth="1"/>
    <col min="10502" max="10502" width="8.28515625" customWidth="1"/>
    <col min="10503" max="10503" width="9.7109375" customWidth="1"/>
    <col min="10753" max="10753" width="4.28515625" customWidth="1"/>
    <col min="10754" max="10754" width="15.7109375" customWidth="1"/>
    <col min="10755" max="10755" width="15.5703125" customWidth="1"/>
    <col min="10756" max="10756" width="8" customWidth="1"/>
    <col min="10757" max="10757" width="6.42578125" customWidth="1"/>
    <col min="10758" max="10758" width="8.28515625" customWidth="1"/>
    <col min="10759" max="10759" width="9.7109375" customWidth="1"/>
    <col min="11009" max="11009" width="4.28515625" customWidth="1"/>
    <col min="11010" max="11010" width="15.7109375" customWidth="1"/>
    <col min="11011" max="11011" width="15.5703125" customWidth="1"/>
    <col min="11012" max="11012" width="8" customWidth="1"/>
    <col min="11013" max="11013" width="6.42578125" customWidth="1"/>
    <col min="11014" max="11014" width="8.28515625" customWidth="1"/>
    <col min="11015" max="11015" width="9.7109375" customWidth="1"/>
    <col min="11265" max="11265" width="4.28515625" customWidth="1"/>
    <col min="11266" max="11266" width="15.7109375" customWidth="1"/>
    <col min="11267" max="11267" width="15.5703125" customWidth="1"/>
    <col min="11268" max="11268" width="8" customWidth="1"/>
    <col min="11269" max="11269" width="6.42578125" customWidth="1"/>
    <col min="11270" max="11270" width="8.28515625" customWidth="1"/>
    <col min="11271" max="11271" width="9.7109375" customWidth="1"/>
    <col min="11521" max="11521" width="4.28515625" customWidth="1"/>
    <col min="11522" max="11522" width="15.7109375" customWidth="1"/>
    <col min="11523" max="11523" width="15.5703125" customWidth="1"/>
    <col min="11524" max="11524" width="8" customWidth="1"/>
    <col min="11525" max="11525" width="6.42578125" customWidth="1"/>
    <col min="11526" max="11526" width="8.28515625" customWidth="1"/>
    <col min="11527" max="11527" width="9.7109375" customWidth="1"/>
    <col min="11777" max="11777" width="4.28515625" customWidth="1"/>
    <col min="11778" max="11778" width="15.7109375" customWidth="1"/>
    <col min="11779" max="11779" width="15.5703125" customWidth="1"/>
    <col min="11780" max="11780" width="8" customWidth="1"/>
    <col min="11781" max="11781" width="6.42578125" customWidth="1"/>
    <col min="11782" max="11782" width="8.28515625" customWidth="1"/>
    <col min="11783" max="11783" width="9.7109375" customWidth="1"/>
    <col min="12033" max="12033" width="4.28515625" customWidth="1"/>
    <col min="12034" max="12034" width="15.7109375" customWidth="1"/>
    <col min="12035" max="12035" width="15.5703125" customWidth="1"/>
    <col min="12036" max="12036" width="8" customWidth="1"/>
    <col min="12037" max="12037" width="6.42578125" customWidth="1"/>
    <col min="12038" max="12038" width="8.28515625" customWidth="1"/>
    <col min="12039" max="12039" width="9.7109375" customWidth="1"/>
    <col min="12289" max="12289" width="4.28515625" customWidth="1"/>
    <col min="12290" max="12290" width="15.7109375" customWidth="1"/>
    <col min="12291" max="12291" width="15.5703125" customWidth="1"/>
    <col min="12292" max="12292" width="8" customWidth="1"/>
    <col min="12293" max="12293" width="6.42578125" customWidth="1"/>
    <col min="12294" max="12294" width="8.28515625" customWidth="1"/>
    <col min="12295" max="12295" width="9.7109375" customWidth="1"/>
    <col min="12545" max="12545" width="4.28515625" customWidth="1"/>
    <col min="12546" max="12546" width="15.7109375" customWidth="1"/>
    <col min="12547" max="12547" width="15.5703125" customWidth="1"/>
    <col min="12548" max="12548" width="8" customWidth="1"/>
    <col min="12549" max="12549" width="6.42578125" customWidth="1"/>
    <col min="12550" max="12550" width="8.28515625" customWidth="1"/>
    <col min="12551" max="12551" width="9.7109375" customWidth="1"/>
    <col min="12801" max="12801" width="4.28515625" customWidth="1"/>
    <col min="12802" max="12802" width="15.7109375" customWidth="1"/>
    <col min="12803" max="12803" width="15.5703125" customWidth="1"/>
    <col min="12804" max="12804" width="8" customWidth="1"/>
    <col min="12805" max="12805" width="6.42578125" customWidth="1"/>
    <col min="12806" max="12806" width="8.28515625" customWidth="1"/>
    <col min="12807" max="12807" width="9.7109375" customWidth="1"/>
    <col min="13057" max="13057" width="4.28515625" customWidth="1"/>
    <col min="13058" max="13058" width="15.7109375" customWidth="1"/>
    <col min="13059" max="13059" width="15.5703125" customWidth="1"/>
    <col min="13060" max="13060" width="8" customWidth="1"/>
    <col min="13061" max="13061" width="6.42578125" customWidth="1"/>
    <col min="13062" max="13062" width="8.28515625" customWidth="1"/>
    <col min="13063" max="13063" width="9.7109375" customWidth="1"/>
    <col min="13313" max="13313" width="4.28515625" customWidth="1"/>
    <col min="13314" max="13314" width="15.7109375" customWidth="1"/>
    <col min="13315" max="13315" width="15.5703125" customWidth="1"/>
    <col min="13316" max="13316" width="8" customWidth="1"/>
    <col min="13317" max="13317" width="6.42578125" customWidth="1"/>
    <col min="13318" max="13318" width="8.28515625" customWidth="1"/>
    <col min="13319" max="13319" width="9.7109375" customWidth="1"/>
    <col min="13569" max="13569" width="4.28515625" customWidth="1"/>
    <col min="13570" max="13570" width="15.7109375" customWidth="1"/>
    <col min="13571" max="13571" width="15.5703125" customWidth="1"/>
    <col min="13572" max="13572" width="8" customWidth="1"/>
    <col min="13573" max="13573" width="6.42578125" customWidth="1"/>
    <col min="13574" max="13574" width="8.28515625" customWidth="1"/>
    <col min="13575" max="13575" width="9.7109375" customWidth="1"/>
    <col min="13825" max="13825" width="4.28515625" customWidth="1"/>
    <col min="13826" max="13826" width="15.7109375" customWidth="1"/>
    <col min="13827" max="13827" width="15.5703125" customWidth="1"/>
    <col min="13828" max="13828" width="8" customWidth="1"/>
    <col min="13829" max="13829" width="6.42578125" customWidth="1"/>
    <col min="13830" max="13830" width="8.28515625" customWidth="1"/>
    <col min="13831" max="13831" width="9.7109375" customWidth="1"/>
    <col min="14081" max="14081" width="4.28515625" customWidth="1"/>
    <col min="14082" max="14082" width="15.7109375" customWidth="1"/>
    <col min="14083" max="14083" width="15.5703125" customWidth="1"/>
    <col min="14084" max="14084" width="8" customWidth="1"/>
    <col min="14085" max="14085" width="6.42578125" customWidth="1"/>
    <col min="14086" max="14086" width="8.28515625" customWidth="1"/>
    <col min="14087" max="14087" width="9.7109375" customWidth="1"/>
    <col min="14337" max="14337" width="4.28515625" customWidth="1"/>
    <col min="14338" max="14338" width="15.7109375" customWidth="1"/>
    <col min="14339" max="14339" width="15.5703125" customWidth="1"/>
    <col min="14340" max="14340" width="8" customWidth="1"/>
    <col min="14341" max="14341" width="6.42578125" customWidth="1"/>
    <col min="14342" max="14342" width="8.28515625" customWidth="1"/>
    <col min="14343" max="14343" width="9.7109375" customWidth="1"/>
    <col min="14593" max="14593" width="4.28515625" customWidth="1"/>
    <col min="14594" max="14594" width="15.7109375" customWidth="1"/>
    <col min="14595" max="14595" width="15.5703125" customWidth="1"/>
    <col min="14596" max="14596" width="8" customWidth="1"/>
    <col min="14597" max="14597" width="6.42578125" customWidth="1"/>
    <col min="14598" max="14598" width="8.28515625" customWidth="1"/>
    <col min="14599" max="14599" width="9.7109375" customWidth="1"/>
    <col min="14849" max="14849" width="4.28515625" customWidth="1"/>
    <col min="14850" max="14850" width="15.7109375" customWidth="1"/>
    <col min="14851" max="14851" width="15.5703125" customWidth="1"/>
    <col min="14852" max="14852" width="8" customWidth="1"/>
    <col min="14853" max="14853" width="6.42578125" customWidth="1"/>
    <col min="14854" max="14854" width="8.28515625" customWidth="1"/>
    <col min="14855" max="14855" width="9.7109375" customWidth="1"/>
    <col min="15105" max="15105" width="4.28515625" customWidth="1"/>
    <col min="15106" max="15106" width="15.7109375" customWidth="1"/>
    <col min="15107" max="15107" width="15.5703125" customWidth="1"/>
    <col min="15108" max="15108" width="8" customWidth="1"/>
    <col min="15109" max="15109" width="6.42578125" customWidth="1"/>
    <col min="15110" max="15110" width="8.28515625" customWidth="1"/>
    <col min="15111" max="15111" width="9.7109375" customWidth="1"/>
    <col min="15361" max="15361" width="4.28515625" customWidth="1"/>
    <col min="15362" max="15362" width="15.7109375" customWidth="1"/>
    <col min="15363" max="15363" width="15.5703125" customWidth="1"/>
    <col min="15364" max="15364" width="8" customWidth="1"/>
    <col min="15365" max="15365" width="6.42578125" customWidth="1"/>
    <col min="15366" max="15366" width="8.28515625" customWidth="1"/>
    <col min="15367" max="15367" width="9.7109375" customWidth="1"/>
    <col min="15617" max="15617" width="4.28515625" customWidth="1"/>
    <col min="15618" max="15618" width="15.7109375" customWidth="1"/>
    <col min="15619" max="15619" width="15.5703125" customWidth="1"/>
    <col min="15620" max="15620" width="8" customWidth="1"/>
    <col min="15621" max="15621" width="6.42578125" customWidth="1"/>
    <col min="15622" max="15622" width="8.28515625" customWidth="1"/>
    <col min="15623" max="15623" width="9.7109375" customWidth="1"/>
    <col min="15873" max="15873" width="4.28515625" customWidth="1"/>
    <col min="15874" max="15874" width="15.7109375" customWidth="1"/>
    <col min="15875" max="15875" width="15.5703125" customWidth="1"/>
    <col min="15876" max="15876" width="8" customWidth="1"/>
    <col min="15877" max="15877" width="6.42578125" customWidth="1"/>
    <col min="15878" max="15878" width="8.28515625" customWidth="1"/>
    <col min="15879" max="15879" width="9.7109375" customWidth="1"/>
    <col min="16129" max="16129" width="4.28515625" customWidth="1"/>
    <col min="16130" max="16130" width="15.7109375" customWidth="1"/>
    <col min="16131" max="16131" width="15.5703125" customWidth="1"/>
    <col min="16132" max="16132" width="8" customWidth="1"/>
    <col min="16133" max="16133" width="6.42578125" customWidth="1"/>
    <col min="16134" max="16134" width="8.28515625" customWidth="1"/>
    <col min="16135" max="16135" width="9.7109375" customWidth="1"/>
  </cols>
  <sheetData>
    <row r="1" spans="1:9" x14ac:dyDescent="0.25">
      <c r="B1" s="40" t="s">
        <v>0</v>
      </c>
      <c r="E1" s="16"/>
      <c r="F1" s="17"/>
      <c r="G1" s="17"/>
      <c r="H1" s="15"/>
    </row>
    <row r="2" spans="1:9" ht="15.75" thickBot="1" x14ac:dyDescent="0.3">
      <c r="C2" s="111">
        <f ca="1">NOW()</f>
        <v>45289.623448379629</v>
      </c>
      <c r="E2" s="5"/>
      <c r="F2" t="s">
        <v>36</v>
      </c>
      <c r="H2" s="18"/>
    </row>
    <row r="3" spans="1:9" ht="15.75" thickBot="1" x14ac:dyDescent="0.3">
      <c r="A3" s="3"/>
      <c r="B3" s="4" t="s">
        <v>1</v>
      </c>
      <c r="C3" s="41"/>
      <c r="E3" s="5"/>
      <c r="H3" s="18"/>
    </row>
    <row r="4" spans="1:9" ht="15.75" thickBot="1" x14ac:dyDescent="0.3">
      <c r="B4" s="19" t="s">
        <v>2</v>
      </c>
      <c r="C4" s="43" t="s">
        <v>33</v>
      </c>
      <c r="E4" s="5"/>
      <c r="H4" s="18"/>
    </row>
    <row r="5" spans="1:9" x14ac:dyDescent="0.25">
      <c r="C5" s="20" t="s">
        <v>38</v>
      </c>
      <c r="E5" s="21"/>
      <c r="F5" s="12"/>
      <c r="G5" s="12"/>
      <c r="H5" s="22"/>
    </row>
    <row r="6" spans="1:9" ht="15.75" thickBot="1" x14ac:dyDescent="0.3">
      <c r="C6" s="20"/>
    </row>
    <row r="7" spans="1:9" ht="15.75" thickBot="1" x14ac:dyDescent="0.3">
      <c r="C7" s="23" t="s">
        <v>25</v>
      </c>
      <c r="D7" s="126"/>
      <c r="E7" s="127"/>
      <c r="F7" s="118" t="s">
        <v>37</v>
      </c>
      <c r="G7" s="123"/>
      <c r="H7" s="124"/>
      <c r="I7" s="125"/>
    </row>
    <row r="8" spans="1:9" ht="15.75" thickBot="1" x14ac:dyDescent="0.3">
      <c r="C8" s="24" t="s">
        <v>4</v>
      </c>
      <c r="D8" s="45">
        <v>10</v>
      </c>
      <c r="F8" s="25" t="s">
        <v>29</v>
      </c>
      <c r="G8" s="42">
        <v>1</v>
      </c>
      <c r="H8" s="26" t="s">
        <v>30</v>
      </c>
    </row>
    <row r="9" spans="1:9" ht="15.75" thickBot="1" x14ac:dyDescent="0.3">
      <c r="B9" s="20"/>
      <c r="C9" t="s">
        <v>3</v>
      </c>
      <c r="D9" s="46">
        <f>POWER(D8,0.75)</f>
        <v>5.6234132519034921</v>
      </c>
      <c r="E9" t="s">
        <v>5</v>
      </c>
      <c r="H9" s="27"/>
    </row>
    <row r="10" spans="1:9" ht="21.75" customHeight="1" x14ac:dyDescent="0.4">
      <c r="A10" s="136" t="s">
        <v>31</v>
      </c>
      <c r="B10" s="136"/>
      <c r="C10" s="136"/>
      <c r="D10" s="136"/>
      <c r="E10" s="136"/>
      <c r="F10" s="114"/>
      <c r="G10" s="114"/>
      <c r="H10" s="115"/>
      <c r="I10" s="116"/>
    </row>
    <row r="11" spans="1:9" ht="16.5" customHeight="1" x14ac:dyDescent="0.4">
      <c r="A11" s="107">
        <v>1</v>
      </c>
      <c r="B11" s="61" t="str">
        <f>IF(A11=1,"maropitant 10mg/ml   geef 1 uur van tevoren","-maropitant-")</f>
        <v>maropitant 10mg/ml   geef 1 uur van tevoren</v>
      </c>
      <c r="C11" s="101"/>
      <c r="D11" s="113">
        <f>IF(A11=1,(A11*D8*0.1),"-")</f>
        <v>1</v>
      </c>
      <c r="E11" s="117" t="s">
        <v>7</v>
      </c>
      <c r="F11" s="4" t="s">
        <v>34</v>
      </c>
      <c r="G11" s="4" t="s">
        <v>6</v>
      </c>
      <c r="H11" s="6"/>
      <c r="I11" s="108"/>
    </row>
    <row r="12" spans="1:9" x14ac:dyDescent="0.25">
      <c r="A12" s="78">
        <f>1-A13</f>
        <v>0</v>
      </c>
      <c r="B12" s="7" t="str">
        <f>IF(A12=1,"(dex)medetomidine 500 ugr dex./ml","-(dex)medetomidine-")</f>
        <v>-(dex)medetomidine-</v>
      </c>
      <c r="C12" s="8"/>
      <c r="D12" s="47" t="str">
        <f>IF(A12=1,(A12*(0.0375*POWER(D8,0.75))),"-")</f>
        <v>-</v>
      </c>
      <c r="E12" s="8" t="s">
        <v>7</v>
      </c>
      <c r="F12" s="9"/>
      <c r="G12" s="9"/>
      <c r="H12" s="16"/>
      <c r="I12" s="84"/>
    </row>
    <row r="13" spans="1:9" x14ac:dyDescent="0.25">
      <c r="A13" s="109">
        <v>1</v>
      </c>
      <c r="B13" s="7" t="str">
        <f>IF(A13=1,"aceprom. 1 mg/ml (=verdund!)","-acepromazine-")</f>
        <v>aceprom. 1 mg/ml (=verdund!)</v>
      </c>
      <c r="C13" s="8"/>
      <c r="D13" s="47">
        <f>IF(A13=1,(A13*0.01*D8),"-")</f>
        <v>0.1</v>
      </c>
      <c r="E13" s="8" t="s">
        <v>7</v>
      </c>
      <c r="F13" s="9"/>
      <c r="G13" s="9"/>
      <c r="H13" s="5"/>
      <c r="I13" s="86"/>
    </row>
    <row r="14" spans="1:9" x14ac:dyDescent="0.25">
      <c r="A14" s="78">
        <v>1</v>
      </c>
      <c r="B14" s="7" t="str">
        <f>IF(A14=1,"midazolam 5 mg/ml","-midazolam-")</f>
        <v>midazolam 5 mg/ml</v>
      </c>
      <c r="C14" s="8"/>
      <c r="D14" s="47">
        <f>IF(A14=1,(A14*(0.07*POWER(D8,0.75))),"-")</f>
        <v>0.39363892763324448</v>
      </c>
      <c r="E14" s="8" t="s">
        <v>7</v>
      </c>
      <c r="F14" s="28"/>
      <c r="G14" s="9"/>
      <c r="H14" s="5"/>
      <c r="I14" s="86"/>
    </row>
    <row r="15" spans="1:9" x14ac:dyDescent="0.25">
      <c r="A15" s="78">
        <v>1</v>
      </c>
      <c r="B15" s="7" t="str">
        <f>IF(A15=1,"ketamine 100mg/ml","-ketamine-")</f>
        <v>ketamine 100mg/ml</v>
      </c>
      <c r="C15" s="8"/>
      <c r="D15" s="47">
        <f>IF(A15=1,(((A15*0.01*D8)+(A15*A13*0.01*D8))),"")</f>
        <v>0.2</v>
      </c>
      <c r="E15" s="8" t="s">
        <v>7</v>
      </c>
      <c r="F15" s="28"/>
      <c r="G15" s="9"/>
      <c r="H15" s="5"/>
      <c r="I15" s="86"/>
    </row>
    <row r="16" spans="1:9" x14ac:dyDescent="0.25">
      <c r="A16" s="76"/>
      <c r="B16" s="7" t="str">
        <f>IF(A16=1,"methadon 10 mg/ml","-methadon-")</f>
        <v>-methadon-</v>
      </c>
      <c r="C16" s="8"/>
      <c r="D16" s="47" t="str">
        <f>IF(A16=1,(((A16*0.03*D8)+(A16*A13*D8*0.01))),"-")</f>
        <v>-</v>
      </c>
      <c r="E16" s="8" t="s">
        <v>7</v>
      </c>
      <c r="F16" s="28"/>
      <c r="G16" s="9"/>
      <c r="H16" s="21"/>
      <c r="I16" s="77"/>
    </row>
    <row r="17" spans="1:9" x14ac:dyDescent="0.25">
      <c r="A17" s="78">
        <f>1-A16</f>
        <v>1</v>
      </c>
      <c r="B17" s="7" t="str">
        <f>IF(A17=1,"buprenorfine 0,3 mg/ml","-buprenorfine-")</f>
        <v>buprenorfine 0,3 mg/ml</v>
      </c>
      <c r="C17" s="8"/>
      <c r="D17" s="47">
        <f>IF(A17=1,(0.05*D8),"-")</f>
        <v>0.5</v>
      </c>
      <c r="E17" s="8" t="s">
        <v>7</v>
      </c>
      <c r="F17" s="28"/>
      <c r="G17" s="9"/>
      <c r="H17" s="9"/>
      <c r="I17" s="110"/>
    </row>
    <row r="18" spans="1:9" ht="15" customHeight="1" x14ac:dyDescent="0.4">
      <c r="A18" s="132" t="s">
        <v>8</v>
      </c>
      <c r="B18" s="130"/>
      <c r="C18" s="130"/>
      <c r="D18" s="130"/>
      <c r="E18" s="130"/>
      <c r="F18" s="130"/>
      <c r="G18" s="130"/>
      <c r="H18" s="130"/>
      <c r="I18" s="131"/>
    </row>
    <row r="19" spans="1:9" x14ac:dyDescent="0.25">
      <c r="A19" s="78">
        <f>A16</f>
        <v>0</v>
      </c>
      <c r="B19" s="7" t="str">
        <f>IF(A19=1,"lidocaïne 20mg/ml","-lidocaine-")</f>
        <v>-lidocaine-</v>
      </c>
      <c r="C19" s="8"/>
      <c r="D19" s="47" t="str">
        <f>IF(A16=1,(A19*0.075*D8),"-")</f>
        <v>-</v>
      </c>
      <c r="E19" s="8" t="s">
        <v>7</v>
      </c>
      <c r="F19" s="9"/>
      <c r="G19" s="9"/>
      <c r="H19" s="9"/>
      <c r="I19" s="110"/>
    </row>
    <row r="20" spans="1:9" x14ac:dyDescent="0.25">
      <c r="A20" s="78">
        <f>1-A21</f>
        <v>0</v>
      </c>
      <c r="B20" s="7" t="str">
        <f>IF(A20=1,"meloxicam 2 mg/ml (kat)","-meloxicam-kat-")</f>
        <v>-meloxicam-kat-</v>
      </c>
      <c r="C20" s="8"/>
      <c r="D20" s="47" t="str">
        <f>IF(A20=1,(A20*D8*0.1),"-")</f>
        <v>-</v>
      </c>
      <c r="E20" s="8" t="s">
        <v>7</v>
      </c>
      <c r="F20" s="9"/>
      <c r="G20" s="9"/>
      <c r="H20" s="9"/>
      <c r="I20" s="110"/>
    </row>
    <row r="21" spans="1:9" x14ac:dyDescent="0.25">
      <c r="A21" s="109">
        <v>1</v>
      </c>
      <c r="B21" s="7" t="str">
        <f>IF(A21=1,"meloxicam 5 mg/ml (hond)","-meloxicam (hond)-")</f>
        <v>meloxicam 5 mg/ml (hond)</v>
      </c>
      <c r="C21" s="8"/>
      <c r="D21" s="47">
        <f>IF(A21=1,(A21*D8*0.04),"-")</f>
        <v>0.4</v>
      </c>
      <c r="E21" s="8" t="s">
        <v>7</v>
      </c>
      <c r="F21" s="9"/>
      <c r="G21" s="9"/>
      <c r="H21" s="9"/>
      <c r="I21" s="110"/>
    </row>
    <row r="22" spans="1:9" x14ac:dyDescent="0.25">
      <c r="A22" s="109">
        <v>1</v>
      </c>
      <c r="B22" s="7" t="str">
        <f>IF(A22=1,"kefzol 100mg/ml","-kefzol-")</f>
        <v>kefzol 100mg/ml</v>
      </c>
      <c r="C22" s="8"/>
      <c r="D22" s="47">
        <f>IF(A22=1,(A22*0.2*D8),"-")</f>
        <v>2</v>
      </c>
      <c r="E22" s="8" t="s">
        <v>7</v>
      </c>
      <c r="F22" s="9"/>
      <c r="G22" s="9"/>
      <c r="H22" s="9"/>
      <c r="I22" s="110"/>
    </row>
    <row r="23" spans="1:9" x14ac:dyDescent="0.25">
      <c r="A23" s="76">
        <v>1</v>
      </c>
      <c r="B23" s="52" t="str">
        <f>IF(A23=1,"propofol 10 mg/ml","-propofol-")</f>
        <v>propofol 10 mg/ml</v>
      </c>
      <c r="C23" s="53" t="str">
        <f>IF(A23=1,"als nodig, langzaam!","")</f>
        <v>als nodig, langzaam!</v>
      </c>
      <c r="D23" s="47">
        <f>IF(A23=1,(A23*((0.25*D8)+(A13*0.25*D8))/2),"-")</f>
        <v>2.5</v>
      </c>
      <c r="E23" s="8" t="s">
        <v>7</v>
      </c>
      <c r="F23" s="9"/>
      <c r="G23" s="9"/>
      <c r="H23" s="9"/>
      <c r="I23" s="110"/>
    </row>
    <row r="24" spans="1:9" ht="14.25" customHeight="1" x14ac:dyDescent="0.25">
      <c r="A24" s="78">
        <f>1-A23</f>
        <v>0</v>
      </c>
      <c r="B24" s="51" t="str">
        <f>IF(A24=1,"alfaxalone 5 mg/ml (=verdund!)","-alfaxan-")</f>
        <v>-alfaxan-</v>
      </c>
      <c r="C24" s="53"/>
      <c r="D24" s="47" t="str">
        <f>IF(A24=1,(2*((D8*A24*0.1)+(A24*A13*0.1*D8))),"-")</f>
        <v>-</v>
      </c>
      <c r="E24" s="8" t="s">
        <v>7</v>
      </c>
      <c r="F24" s="9"/>
      <c r="G24" s="9"/>
      <c r="H24" s="9"/>
      <c r="I24" s="110"/>
    </row>
    <row r="25" spans="1:9" ht="21.75" customHeight="1" thickBot="1" x14ac:dyDescent="0.45">
      <c r="A25" s="133" t="s">
        <v>9</v>
      </c>
      <c r="B25" s="134"/>
      <c r="C25" s="134"/>
      <c r="D25" s="134"/>
      <c r="E25" s="134"/>
      <c r="F25" s="134"/>
      <c r="G25" s="134"/>
      <c r="H25" s="134"/>
      <c r="I25" s="135"/>
    </row>
    <row r="26" spans="1:9" ht="18.75" x14ac:dyDescent="0.4">
      <c r="A26" s="71">
        <f>1-A27</f>
        <v>0</v>
      </c>
      <c r="B26" s="72" t="str">
        <f>IF(A26=1,"cri","-cri-")</f>
        <v>-cri-</v>
      </c>
      <c r="C26" s="73"/>
      <c r="D26" s="74"/>
      <c r="E26" s="73"/>
      <c r="F26" s="73"/>
      <c r="G26" s="73"/>
      <c r="H26" s="73"/>
      <c r="I26" s="75"/>
    </row>
    <row r="27" spans="1:9" ht="18.75" x14ac:dyDescent="0.4">
      <c r="A27" s="76">
        <v>1</v>
      </c>
      <c r="B27" s="30" t="str">
        <f>IF(A27=1,"damp","-damp-")</f>
        <v>damp</v>
      </c>
      <c r="F27" s="12"/>
      <c r="G27" s="12"/>
      <c r="H27" s="12"/>
      <c r="I27" s="77"/>
    </row>
    <row r="28" spans="1:9" x14ac:dyDescent="0.25">
      <c r="A28" s="78">
        <f>A23*A26</f>
        <v>0</v>
      </c>
      <c r="B28" s="7" t="str">
        <f>IF(A28=1,"propofol (pomp) 10 mg.ml","-propofol-")</f>
        <v>-propofol-</v>
      </c>
      <c r="C28" s="29"/>
      <c r="D28" s="48" t="str">
        <f>IF(A28=1,((1+(A32/5))*((A28*0.35*D8)+(A28*A13*0.15*D8))),"")</f>
        <v/>
      </c>
      <c r="E28" s="8" t="str">
        <f>IF(A23=1,"ml/hr.","")</f>
        <v>ml/hr.</v>
      </c>
      <c r="F28" s="106" t="str">
        <f>IF(A23=1,"totaal","")</f>
        <v>totaal</v>
      </c>
      <c r="G28" s="32" t="str">
        <f>IF(A28=1,(A28*(D23+(G8*D28)+2)),"")</f>
        <v/>
      </c>
      <c r="H28" s="32" t="str">
        <f>IF(A28=1,"ml","")</f>
        <v/>
      </c>
      <c r="I28" s="79" t="str">
        <f>IF(A28=1,"propofol","")</f>
        <v/>
      </c>
    </row>
    <row r="29" spans="1:9" x14ac:dyDescent="0.25">
      <c r="A29" s="78">
        <f>A24*A26</f>
        <v>0</v>
      </c>
      <c r="B29" s="119" t="str">
        <f>IF(A29=1,"alfaxalone(pomp) 5 mgr/ml","-alfaxan-")</f>
        <v>-alfaxan-</v>
      </c>
      <c r="C29" s="120"/>
      <c r="D29" s="48" t="str">
        <f>IF(A29=1,(2*(1+(A32/5))*((D8*A29*0.4)+(A29*A13*0.1*D8))),"")</f>
        <v/>
      </c>
      <c r="E29" s="8" t="str">
        <f>IF(A29=1,"ml/hr.","")</f>
        <v/>
      </c>
      <c r="F29" s="106" t="str">
        <f>IF(A29=1,"totaal","")</f>
        <v/>
      </c>
      <c r="G29" s="32" t="str">
        <f>IF(A29=1,(A29*(D24+(G8*D29)+2)),"")</f>
        <v/>
      </c>
      <c r="H29" s="32" t="str">
        <f>IF(A29=1,"ml","")</f>
        <v/>
      </c>
      <c r="I29" s="80" t="str">
        <f>IF(A29=1,"alfaxan","")</f>
        <v/>
      </c>
    </row>
    <row r="30" spans="1:9" x14ac:dyDescent="0.25">
      <c r="A30" s="78">
        <f>A27</f>
        <v>1</v>
      </c>
      <c r="B30" s="7" t="str">
        <f>IF(A30=1,"Isofluraan","-isofluraan-")</f>
        <v>Isofluraan</v>
      </c>
      <c r="C30" s="33" t="s">
        <v>11</v>
      </c>
      <c r="D30" s="49">
        <f>IF(A27=1,(A30*((A12*1)+(A13*1.2))-(A30*(A33*0.1))),"")</f>
        <v>1.2</v>
      </c>
      <c r="E30" s="10" t="str">
        <f>IF(A27=1,"%","")</f>
        <v>%</v>
      </c>
      <c r="F30" s="34" t="str">
        <f>IF(A27=1,"na ±","")</f>
        <v>na ±</v>
      </c>
      <c r="G30" s="32">
        <f>IF(A27=1,(A30*((A12*20)+(A13*10))),"")</f>
        <v>10</v>
      </c>
      <c r="H30" s="31" t="str">
        <f>IF(A27=1,"minuten","")</f>
        <v>minuten</v>
      </c>
      <c r="I30" s="81"/>
    </row>
    <row r="31" spans="1:9" ht="15" customHeight="1" x14ac:dyDescent="0.4">
      <c r="A31" s="132" t="s">
        <v>12</v>
      </c>
      <c r="B31" s="130"/>
      <c r="C31" s="130"/>
      <c r="D31" s="130"/>
      <c r="E31" s="130"/>
      <c r="F31" s="130"/>
      <c r="G31" s="130"/>
      <c r="H31" s="130"/>
      <c r="I31" s="131"/>
    </row>
    <row r="32" spans="1:9" x14ac:dyDescent="0.25">
      <c r="A32" s="78">
        <f>1-A33</f>
        <v>1</v>
      </c>
      <c r="B32" s="7" t="str">
        <f>IF(A32=1,"Ringer/NaCl","")</f>
        <v>Ringer/NaCl</v>
      </c>
      <c r="C32" s="29"/>
      <c r="D32" s="50">
        <f>IF(A32=1,(A32*D8*5),"")</f>
        <v>50</v>
      </c>
      <c r="E32" s="8" t="s">
        <v>13</v>
      </c>
      <c r="F32" s="9"/>
      <c r="G32" s="9" t="s">
        <v>10</v>
      </c>
      <c r="H32" s="11">
        <f>IF(A32=1,(A32*(15+(D32*G8))),"")</f>
        <v>65</v>
      </c>
      <c r="I32" s="82" t="s">
        <v>7</v>
      </c>
    </row>
    <row r="33" spans="1:9" x14ac:dyDescent="0.25">
      <c r="A33" s="78" t="str">
        <f>IF(A17=1,"0","1")</f>
        <v>0</v>
      </c>
      <c r="B33" s="7" t="str">
        <f>IF(A16=1,"(D)MLK (of ringer/nacl)","")</f>
        <v/>
      </c>
      <c r="C33" s="8"/>
      <c r="D33" s="50" t="str">
        <f>IF(A16=1,(A33*5*D8),"")</f>
        <v/>
      </c>
      <c r="E33" s="8" t="s">
        <v>13</v>
      </c>
      <c r="F33" s="9"/>
      <c r="G33" s="9" t="s">
        <v>10</v>
      </c>
      <c r="H33" s="11" t="str">
        <f>IF(A16=1,(A33*(15+(D33*G8))),"")</f>
        <v/>
      </c>
      <c r="I33" s="82" t="s">
        <v>7</v>
      </c>
    </row>
    <row r="34" spans="1:9" ht="15" customHeight="1" thickBot="1" x14ac:dyDescent="0.45">
      <c r="A34" s="128" t="s">
        <v>14</v>
      </c>
      <c r="B34" s="129"/>
      <c r="C34" s="129"/>
      <c r="D34" s="129"/>
      <c r="E34" s="129"/>
      <c r="F34" s="129"/>
      <c r="G34" s="129"/>
      <c r="H34" s="130"/>
      <c r="I34" s="131"/>
    </row>
    <row r="35" spans="1:9" x14ac:dyDescent="0.25">
      <c r="A35" s="83"/>
      <c r="B35" s="62" t="s">
        <v>6</v>
      </c>
      <c r="C35" s="63" t="s">
        <v>15</v>
      </c>
      <c r="D35" s="64"/>
      <c r="E35" s="65"/>
      <c r="F35" s="62" t="s">
        <v>6</v>
      </c>
      <c r="G35" s="66" t="s">
        <v>15</v>
      </c>
      <c r="I35" s="84"/>
    </row>
    <row r="36" spans="1:9" x14ac:dyDescent="0.25">
      <c r="A36" s="85" t="s">
        <v>16</v>
      </c>
      <c r="B36" s="10"/>
      <c r="C36" s="9"/>
      <c r="D36" s="137" t="s">
        <v>17</v>
      </c>
      <c r="E36" s="138"/>
      <c r="F36" s="9"/>
      <c r="G36" s="67"/>
      <c r="I36" s="86"/>
    </row>
    <row r="37" spans="1:9" ht="15.75" thickBot="1" x14ac:dyDescent="0.3">
      <c r="A37" s="87" t="s">
        <v>18</v>
      </c>
      <c r="B37" s="68"/>
      <c r="C37" s="69"/>
      <c r="D37" s="139" t="s">
        <v>19</v>
      </c>
      <c r="E37" s="140"/>
      <c r="F37" s="69"/>
      <c r="G37" s="70"/>
      <c r="I37" s="86"/>
    </row>
    <row r="38" spans="1:9" x14ac:dyDescent="0.25">
      <c r="A38" s="88"/>
      <c r="B38" s="112" t="s">
        <v>35</v>
      </c>
      <c r="C38" s="54"/>
      <c r="D38" s="55"/>
      <c r="E38" s="59"/>
      <c r="F38" s="60" t="s">
        <v>32</v>
      </c>
      <c r="G38" s="61"/>
      <c r="H38" s="37"/>
      <c r="I38" s="89"/>
    </row>
    <row r="39" spans="1:9" x14ac:dyDescent="0.25">
      <c r="A39" s="90"/>
      <c r="B39" s="56"/>
      <c r="C39" s="57"/>
      <c r="D39" s="58"/>
      <c r="E39" s="57"/>
      <c r="F39" s="121" t="s">
        <v>26</v>
      </c>
      <c r="G39" s="122"/>
      <c r="H39" s="35">
        <f>D9*SQRT(SQRT(SQRT(SQRT(D9))))*21</f>
        <v>131.551042697946</v>
      </c>
      <c r="I39" s="91" t="s">
        <v>7</v>
      </c>
    </row>
    <row r="40" spans="1:9" x14ac:dyDescent="0.25">
      <c r="A40" s="90"/>
      <c r="B40" s="56"/>
      <c r="C40" s="57"/>
      <c r="D40" s="58"/>
      <c r="E40" s="57"/>
      <c r="F40" s="121" t="s">
        <v>27</v>
      </c>
      <c r="G40" s="122"/>
      <c r="H40" s="35">
        <f>1/SQRT(SQRT(D9))*18</f>
        <v>11.688869368371805</v>
      </c>
      <c r="I40" s="92" t="s">
        <v>20</v>
      </c>
    </row>
    <row r="41" spans="1:9" x14ac:dyDescent="0.25">
      <c r="A41" s="90"/>
      <c r="B41" s="56"/>
      <c r="C41" s="57"/>
      <c r="D41" s="58"/>
      <c r="E41" s="57"/>
      <c r="F41" s="121" t="s">
        <v>28</v>
      </c>
      <c r="G41" s="122"/>
      <c r="H41" s="14">
        <f>H39*H40*0.001</f>
        <v>1.5376829533693925</v>
      </c>
      <c r="I41" s="93" t="s">
        <v>21</v>
      </c>
    </row>
    <row r="42" spans="1:9" x14ac:dyDescent="0.25">
      <c r="A42" s="90"/>
      <c r="B42" s="56"/>
      <c r="C42" s="57"/>
      <c r="D42" s="58"/>
      <c r="E42" s="57"/>
      <c r="F42" s="38"/>
      <c r="G42" s="8"/>
      <c r="H42" s="13"/>
      <c r="I42" s="93"/>
    </row>
    <row r="43" spans="1:9" x14ac:dyDescent="0.25">
      <c r="A43" s="90"/>
      <c r="B43" s="56"/>
      <c r="C43" s="57"/>
      <c r="D43" s="58"/>
      <c r="E43" s="57"/>
      <c r="F43" s="102" t="s">
        <v>24</v>
      </c>
      <c r="G43" s="103"/>
      <c r="H43" s="36">
        <f>0.01*D8</f>
        <v>0.1</v>
      </c>
      <c r="I43" s="92" t="s">
        <v>23</v>
      </c>
    </row>
    <row r="44" spans="1:9" ht="15.75" thickBot="1" x14ac:dyDescent="0.3">
      <c r="A44" s="90"/>
      <c r="B44" s="56"/>
      <c r="C44" s="57"/>
      <c r="D44" s="58"/>
      <c r="E44" s="57"/>
      <c r="F44" s="104" t="s">
        <v>22</v>
      </c>
      <c r="G44" s="105"/>
      <c r="H44" s="39">
        <f>2*H41</f>
        <v>3.0753659067387851</v>
      </c>
      <c r="I44" s="94" t="s">
        <v>23</v>
      </c>
    </row>
    <row r="45" spans="1:9" x14ac:dyDescent="0.25">
      <c r="A45" s="90"/>
      <c r="B45" s="56"/>
      <c r="C45" s="57"/>
      <c r="D45" s="58"/>
      <c r="E45" s="57"/>
      <c r="F45" s="12"/>
      <c r="G45" s="12"/>
      <c r="H45" s="12"/>
      <c r="I45" s="77"/>
    </row>
    <row r="46" spans="1:9" x14ac:dyDescent="0.25">
      <c r="A46" s="90"/>
      <c r="B46" s="56"/>
      <c r="C46" s="57"/>
      <c r="D46" s="58"/>
      <c r="E46" s="57"/>
      <c r="F46" s="8"/>
      <c r="G46" s="8"/>
      <c r="H46" s="8"/>
      <c r="I46" s="91"/>
    </row>
    <row r="47" spans="1:9" ht="15.75" thickBot="1" x14ac:dyDescent="0.3">
      <c r="A47" s="95"/>
      <c r="B47" s="96"/>
      <c r="C47" s="97"/>
      <c r="D47" s="98"/>
      <c r="E47" s="97"/>
      <c r="F47" s="99"/>
      <c r="G47" s="99"/>
      <c r="H47" s="99"/>
      <c r="I47" s="100"/>
    </row>
    <row r="48" spans="1:9" x14ac:dyDescent="0.25">
      <c r="F48" s="20"/>
    </row>
  </sheetData>
  <sheetProtection algorithmName="SHA-512" hashValue="UNtc55ZXyduNdTHKIZJuOjeQ7V6j1Z9xVXdzWZQ331JXqBJckXBvrAWGzA3/7Ljhb30Wu3UNn9bOVjcDAes09g==" saltValue="y/qUlZktZwG2exEhKJV3DA==" spinCount="100000" sheet="1" selectLockedCells="1"/>
  <dataConsolidate/>
  <mergeCells count="13">
    <mergeCell ref="B29:C29"/>
    <mergeCell ref="F39:G39"/>
    <mergeCell ref="F40:G40"/>
    <mergeCell ref="F41:G41"/>
    <mergeCell ref="G7:I7"/>
    <mergeCell ref="D7:E7"/>
    <mergeCell ref="A34:I34"/>
    <mergeCell ref="A31:I31"/>
    <mergeCell ref="A25:I25"/>
    <mergeCell ref="A10:E10"/>
    <mergeCell ref="A18:I18"/>
    <mergeCell ref="D36:E36"/>
    <mergeCell ref="D37:E37"/>
  </mergeCells>
  <pageMargins left="0.7" right="0.7" top="0.75" bottom="0.75" header="0.3" footer="0.3"/>
  <pageSetup paperSize="9" fitToWidth="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23" sqref="K23"/>
    </sheetView>
  </sheetViews>
  <sheetFormatPr defaultRowHeight="15" x14ac:dyDescent="0.25"/>
  <sheetData/>
  <sheetProtection algorithmName="SHA-512" hashValue="T/EGZtezjW/h4iYp9cO4MGDKAGtFcCBurvdw8hmHPFgZwGxuQPQmHC7rYTl5Arj7kYC2z4QcZ5dqGExihh0aJA==" saltValue="5C5Lx3XUgnfJIMdrNCouN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anesthesie protocol</vt:lpstr>
      <vt:lpstr>gebruiksaanwijzing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dc:creator>
  <cp:lastModifiedBy>hans nieuwendijk</cp:lastModifiedBy>
  <cp:lastPrinted>2021-05-05T07:36:35Z</cp:lastPrinted>
  <dcterms:created xsi:type="dcterms:W3CDTF">2011-03-04T07:43:24Z</dcterms:created>
  <dcterms:modified xsi:type="dcterms:W3CDTF">2023-12-29T13:57:56Z</dcterms:modified>
</cp:coreProperties>
</file>